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charts/chart497.xml" ContentType="application/vnd.openxmlformats-officedocument.drawingml.chart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charts/chart5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serverbackup\change\АСУ\Scan\"/>
    </mc:Choice>
  </mc:AlternateContent>
  <bookViews>
    <workbookView xWindow="14385" yWindow="-15" windowWidth="14430" windowHeight="12270" tabRatio="924" firstSheet="8" activeTab="17"/>
  </bookViews>
  <sheets>
    <sheet name="приложение 1.1 " sheetId="1" r:id="rId1"/>
    <sheet name="приложение 1.4" sheetId="2" state="hidden" r:id="rId2"/>
    <sheet name="приложение 1.2" sheetId="3" r:id="rId3"/>
    <sheet name="приложение 1.3" sheetId="4" r:id="rId4"/>
    <sheet name="приложение 1.4." sheetId="19" r:id="rId5"/>
    <sheet name="приложение 2.1" sheetId="5" r:id="rId6"/>
    <sheet name="приложение 2.2" sheetId="6" r:id="rId7"/>
    <sheet name="приложение 2.3" sheetId="7" r:id="rId8"/>
    <sheet name="приложение 3.1" sheetId="8" r:id="rId9"/>
    <sheet name="приложение 3.2" sheetId="9" r:id="rId10"/>
    <sheet name="приложение 4.1 " sheetId="10" r:id="rId11"/>
    <sheet name="приложение 4.2 " sheetId="11" r:id="rId12"/>
    <sheet name="приложение 4.3 " sheetId="12" r:id="rId13"/>
    <sheet name="приложение 1" sheetId="13" r:id="rId14"/>
    <sheet name="приложение 2" sheetId="14" r:id="rId15"/>
    <sheet name="приложение 2." sheetId="17" r:id="rId16"/>
    <sheet name="приложение 3" sheetId="15" r:id="rId17"/>
    <sheet name="приложение 6" sheetId="16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\a" localSheetId="13">#REF!</definedName>
    <definedName name="\a" localSheetId="3">#REF!</definedName>
    <definedName name="\a" localSheetId="4">#REF!</definedName>
    <definedName name="\a" localSheetId="14">#REF!</definedName>
    <definedName name="\a" localSheetId="16">#REF!</definedName>
    <definedName name="\a" localSheetId="17">#REF!</definedName>
    <definedName name="\a">#REF!</definedName>
    <definedName name="\m" localSheetId="13">#REF!</definedName>
    <definedName name="\m" localSheetId="3">#REF!</definedName>
    <definedName name="\m" localSheetId="4">#REF!</definedName>
    <definedName name="\m" localSheetId="14">#REF!</definedName>
    <definedName name="\m" localSheetId="16">#REF!</definedName>
    <definedName name="\m" localSheetId="17">#REF!</definedName>
    <definedName name="\m">#REF!</definedName>
    <definedName name="\n" localSheetId="13">#REF!</definedName>
    <definedName name="\n" localSheetId="3">#REF!</definedName>
    <definedName name="\n" localSheetId="4">#REF!</definedName>
    <definedName name="\n" localSheetId="14">#REF!</definedName>
    <definedName name="\n" localSheetId="16">#REF!</definedName>
    <definedName name="\n" localSheetId="17">#REF!</definedName>
    <definedName name="\n">#REF!</definedName>
    <definedName name="\o" localSheetId="13">#REF!</definedName>
    <definedName name="\o" localSheetId="3">#REF!</definedName>
    <definedName name="\o" localSheetId="4">#REF!</definedName>
    <definedName name="\o" localSheetId="14">#REF!</definedName>
    <definedName name="\o" localSheetId="16">#REF!</definedName>
    <definedName name="\o" localSheetId="17">#REF!</definedName>
    <definedName name="\o">#REF!</definedName>
    <definedName name="_op1">[1]T25!$I$48</definedName>
    <definedName name="_opp1">[1]T31!$I$91</definedName>
    <definedName name="_opp2">[1]T31!$I$92</definedName>
    <definedName name="_opp3">[1]T31!$I$93</definedName>
    <definedName name="_opp4">[1]T31!$I$94</definedName>
    <definedName name="_opp5">[1]T31!$I$95</definedName>
    <definedName name="_opp6">[1]T31!$I$96</definedName>
    <definedName name="_opp7">[1]T31!$I$97</definedName>
    <definedName name="_SP1" localSheetId="13">[2]FES!#REF!</definedName>
    <definedName name="_SP1" localSheetId="3">[2]FES!#REF!</definedName>
    <definedName name="_SP1" localSheetId="4">[2]FES!#REF!</definedName>
    <definedName name="_SP1" localSheetId="14">[2]FES!#REF!</definedName>
    <definedName name="_SP1" localSheetId="16">[2]FES!#REF!</definedName>
    <definedName name="_SP1" localSheetId="17">[2]FES!#REF!</definedName>
    <definedName name="_SP1">[2]FES!#REF!</definedName>
    <definedName name="_SP10" localSheetId="13">[2]FES!#REF!</definedName>
    <definedName name="_SP10" localSheetId="3">[2]FES!#REF!</definedName>
    <definedName name="_SP10" localSheetId="4">[2]FES!#REF!</definedName>
    <definedName name="_SP10" localSheetId="14">[2]FES!#REF!</definedName>
    <definedName name="_SP10" localSheetId="16">[2]FES!#REF!</definedName>
    <definedName name="_SP10" localSheetId="17">[2]FES!#REF!</definedName>
    <definedName name="_SP10">[2]FES!#REF!</definedName>
    <definedName name="_SP11" localSheetId="13">[2]FES!#REF!</definedName>
    <definedName name="_SP11" localSheetId="3">[2]FES!#REF!</definedName>
    <definedName name="_SP11" localSheetId="4">[2]FES!#REF!</definedName>
    <definedName name="_SP11" localSheetId="14">[2]FES!#REF!</definedName>
    <definedName name="_SP11" localSheetId="16">[2]FES!#REF!</definedName>
    <definedName name="_SP11" localSheetId="17">[2]FES!#REF!</definedName>
    <definedName name="_SP11">[2]FES!#REF!</definedName>
    <definedName name="_SP12" localSheetId="13">[2]FES!#REF!</definedName>
    <definedName name="_SP12" localSheetId="3">[2]FES!#REF!</definedName>
    <definedName name="_SP12" localSheetId="4">[2]FES!#REF!</definedName>
    <definedName name="_SP12" localSheetId="14">[2]FES!#REF!</definedName>
    <definedName name="_SP12" localSheetId="16">[2]FES!#REF!</definedName>
    <definedName name="_SP12" localSheetId="17">[2]FES!#REF!</definedName>
    <definedName name="_SP12">[2]FES!#REF!</definedName>
    <definedName name="_SP13" localSheetId="13">[2]FES!#REF!</definedName>
    <definedName name="_SP13" localSheetId="3">[2]FES!#REF!</definedName>
    <definedName name="_SP13" localSheetId="14">[2]FES!#REF!</definedName>
    <definedName name="_SP13" localSheetId="16">[2]FES!#REF!</definedName>
    <definedName name="_SP13" localSheetId="17">[2]FES!#REF!</definedName>
    <definedName name="_SP13">[2]FES!#REF!</definedName>
    <definedName name="_SP14" localSheetId="13">[2]FES!#REF!</definedName>
    <definedName name="_SP14" localSheetId="3">[2]FES!#REF!</definedName>
    <definedName name="_SP14" localSheetId="14">[2]FES!#REF!</definedName>
    <definedName name="_SP14" localSheetId="16">[2]FES!#REF!</definedName>
    <definedName name="_SP14" localSheetId="17">[2]FES!#REF!</definedName>
    <definedName name="_SP14">[2]FES!#REF!</definedName>
    <definedName name="_SP15" localSheetId="13">[2]FES!#REF!</definedName>
    <definedName name="_SP15" localSheetId="3">[2]FES!#REF!</definedName>
    <definedName name="_SP15" localSheetId="14">[2]FES!#REF!</definedName>
    <definedName name="_SP15" localSheetId="16">[2]FES!#REF!</definedName>
    <definedName name="_SP15" localSheetId="17">[2]FES!#REF!</definedName>
    <definedName name="_SP15">[2]FES!#REF!</definedName>
    <definedName name="_SP16" localSheetId="13">[2]FES!#REF!</definedName>
    <definedName name="_SP16" localSheetId="3">[2]FES!#REF!</definedName>
    <definedName name="_SP16" localSheetId="14">[2]FES!#REF!</definedName>
    <definedName name="_SP16" localSheetId="16">[2]FES!#REF!</definedName>
    <definedName name="_SP16" localSheetId="17">[2]FES!#REF!</definedName>
    <definedName name="_SP16">[2]FES!#REF!</definedName>
    <definedName name="_SP17" localSheetId="13">[2]FES!#REF!</definedName>
    <definedName name="_SP17" localSheetId="3">[2]FES!#REF!</definedName>
    <definedName name="_SP17" localSheetId="14">[2]FES!#REF!</definedName>
    <definedName name="_SP17" localSheetId="16">[2]FES!#REF!</definedName>
    <definedName name="_SP17" localSheetId="17">[2]FES!#REF!</definedName>
    <definedName name="_SP17">[2]FES!#REF!</definedName>
    <definedName name="_SP18" localSheetId="13">[2]FES!#REF!</definedName>
    <definedName name="_SP18" localSheetId="3">[2]FES!#REF!</definedName>
    <definedName name="_SP18" localSheetId="14">[2]FES!#REF!</definedName>
    <definedName name="_SP18" localSheetId="16">[2]FES!#REF!</definedName>
    <definedName name="_SP18" localSheetId="17">[2]FES!#REF!</definedName>
    <definedName name="_SP18">[2]FES!#REF!</definedName>
    <definedName name="_SP19" localSheetId="13">[2]FES!#REF!</definedName>
    <definedName name="_SP19" localSheetId="3">[2]FES!#REF!</definedName>
    <definedName name="_SP19" localSheetId="14">[2]FES!#REF!</definedName>
    <definedName name="_SP19" localSheetId="16">[2]FES!#REF!</definedName>
    <definedName name="_SP19" localSheetId="17">[2]FES!#REF!</definedName>
    <definedName name="_SP19">[2]FES!#REF!</definedName>
    <definedName name="_SP2" localSheetId="13">[2]FES!#REF!</definedName>
    <definedName name="_SP2" localSheetId="3">[2]FES!#REF!</definedName>
    <definedName name="_SP2" localSheetId="14">[2]FES!#REF!</definedName>
    <definedName name="_SP2" localSheetId="16">[2]FES!#REF!</definedName>
    <definedName name="_SP2" localSheetId="17">[2]FES!#REF!</definedName>
    <definedName name="_SP2">[2]FES!#REF!</definedName>
    <definedName name="_SP20" localSheetId="13">[2]FES!#REF!</definedName>
    <definedName name="_SP20" localSheetId="3">[2]FES!#REF!</definedName>
    <definedName name="_SP20" localSheetId="14">[2]FES!#REF!</definedName>
    <definedName name="_SP20" localSheetId="16">[2]FES!#REF!</definedName>
    <definedName name="_SP20" localSheetId="17">[2]FES!#REF!</definedName>
    <definedName name="_SP20">[2]FES!#REF!</definedName>
    <definedName name="_SP3" localSheetId="13">[2]FES!#REF!</definedName>
    <definedName name="_SP3" localSheetId="3">[2]FES!#REF!</definedName>
    <definedName name="_SP3" localSheetId="14">[2]FES!#REF!</definedName>
    <definedName name="_SP3" localSheetId="16">[2]FES!#REF!</definedName>
    <definedName name="_SP3" localSheetId="17">[2]FES!#REF!</definedName>
    <definedName name="_SP3">[2]FES!#REF!</definedName>
    <definedName name="_SP4" localSheetId="13">[2]FES!#REF!</definedName>
    <definedName name="_SP4" localSheetId="3">[2]FES!#REF!</definedName>
    <definedName name="_SP4" localSheetId="14">[2]FES!#REF!</definedName>
    <definedName name="_SP4" localSheetId="16">[2]FES!#REF!</definedName>
    <definedName name="_SP4" localSheetId="17">[2]FES!#REF!</definedName>
    <definedName name="_SP4">[2]FES!#REF!</definedName>
    <definedName name="_SP5" localSheetId="13">[2]FES!#REF!</definedName>
    <definedName name="_SP5" localSheetId="3">[2]FES!#REF!</definedName>
    <definedName name="_SP5" localSheetId="14">[2]FES!#REF!</definedName>
    <definedName name="_SP5" localSheetId="16">[2]FES!#REF!</definedName>
    <definedName name="_SP5" localSheetId="17">[2]FES!#REF!</definedName>
    <definedName name="_SP5">[2]FES!#REF!</definedName>
    <definedName name="_SP7" localSheetId="13">[2]FES!#REF!</definedName>
    <definedName name="_SP7" localSheetId="3">[2]FES!#REF!</definedName>
    <definedName name="_SP7" localSheetId="14">[2]FES!#REF!</definedName>
    <definedName name="_SP7" localSheetId="16">[2]FES!#REF!</definedName>
    <definedName name="_SP7" localSheetId="17">[2]FES!#REF!</definedName>
    <definedName name="_SP7">[2]FES!#REF!</definedName>
    <definedName name="_SP8" localSheetId="13">[2]FES!#REF!</definedName>
    <definedName name="_SP8" localSheetId="3">[2]FES!#REF!</definedName>
    <definedName name="_SP8" localSheetId="14">[2]FES!#REF!</definedName>
    <definedName name="_SP8" localSheetId="16">[2]FES!#REF!</definedName>
    <definedName name="_SP8" localSheetId="17">[2]FES!#REF!</definedName>
    <definedName name="_SP8">[2]FES!#REF!</definedName>
    <definedName name="_SP9" localSheetId="13">[2]FES!#REF!</definedName>
    <definedName name="_SP9" localSheetId="3">[2]FES!#REF!</definedName>
    <definedName name="_SP9" localSheetId="14">[2]FES!#REF!</definedName>
    <definedName name="_SP9" localSheetId="16">[2]FES!#REF!</definedName>
    <definedName name="_SP9" localSheetId="17">[2]FES!#REF!</definedName>
    <definedName name="_SP9">[2]FES!#REF!</definedName>
    <definedName name="_vp1" localSheetId="13">[3]T0!#REF!</definedName>
    <definedName name="_vp1" localSheetId="3">[3]T0!#REF!</definedName>
    <definedName name="_vp1" localSheetId="14">[3]T0!#REF!</definedName>
    <definedName name="_vp1" localSheetId="16">[3]T0!#REF!</definedName>
    <definedName name="_vp1" localSheetId="17">[3]T0!#REF!</definedName>
    <definedName name="_vp1">[3]T0!#REF!</definedName>
    <definedName name="_vpp1" localSheetId="13">[3]T0!#REF!</definedName>
    <definedName name="_vpp1" localSheetId="3">[3]T0!#REF!</definedName>
    <definedName name="_vpp1" localSheetId="14">[3]T0!#REF!</definedName>
    <definedName name="_vpp1" localSheetId="16">[3]T0!#REF!</definedName>
    <definedName name="_vpp1" localSheetId="17">[3]T0!#REF!</definedName>
    <definedName name="_vpp1">[3]T0!#REF!</definedName>
    <definedName name="_vpp2" localSheetId="13">[3]T0!#REF!</definedName>
    <definedName name="_vpp2" localSheetId="3">[3]T0!#REF!</definedName>
    <definedName name="_vpp2" localSheetId="14">[3]T0!#REF!</definedName>
    <definedName name="_vpp2" localSheetId="16">[3]T0!#REF!</definedName>
    <definedName name="_vpp2" localSheetId="17">[3]T0!#REF!</definedName>
    <definedName name="_vpp2">[3]T0!#REF!</definedName>
    <definedName name="_vpp3" localSheetId="13">[3]T0!#REF!</definedName>
    <definedName name="_vpp3" localSheetId="3">[3]T0!#REF!</definedName>
    <definedName name="_vpp3" localSheetId="14">[3]T0!#REF!</definedName>
    <definedName name="_vpp3" localSheetId="16">[3]T0!#REF!</definedName>
    <definedName name="_vpp3" localSheetId="17">[3]T0!#REF!</definedName>
    <definedName name="_vpp3">[3]T0!#REF!</definedName>
    <definedName name="_vpp4" localSheetId="13">[3]T0!#REF!</definedName>
    <definedName name="_vpp4" localSheetId="3">[3]T0!#REF!</definedName>
    <definedName name="_vpp4" localSheetId="14">[3]T0!#REF!</definedName>
    <definedName name="_vpp4" localSheetId="16">[3]T0!#REF!</definedName>
    <definedName name="_vpp4" localSheetId="17">[3]T0!#REF!</definedName>
    <definedName name="_vpp4">[3]T0!#REF!</definedName>
    <definedName name="_vpp5" localSheetId="13">[3]T0!#REF!</definedName>
    <definedName name="_vpp5" localSheetId="3">[3]T0!#REF!</definedName>
    <definedName name="_vpp5" localSheetId="14">[3]T0!#REF!</definedName>
    <definedName name="_vpp5" localSheetId="16">[3]T0!#REF!</definedName>
    <definedName name="_vpp5" localSheetId="17">[3]T0!#REF!</definedName>
    <definedName name="_vpp5">[3]T0!#REF!</definedName>
    <definedName name="_vpp6" localSheetId="13">[3]T0!#REF!</definedName>
    <definedName name="_vpp6" localSheetId="3">[3]T0!#REF!</definedName>
    <definedName name="_vpp6" localSheetId="14">[3]T0!#REF!</definedName>
    <definedName name="_vpp6" localSheetId="16">[3]T0!#REF!</definedName>
    <definedName name="_vpp6" localSheetId="17">[3]T0!#REF!</definedName>
    <definedName name="_vpp6">[3]T0!#REF!</definedName>
    <definedName name="_vpp7" localSheetId="13">[3]T0!#REF!</definedName>
    <definedName name="_vpp7" localSheetId="3">[3]T0!#REF!</definedName>
    <definedName name="_vpp7" localSheetId="14">[3]T0!#REF!</definedName>
    <definedName name="_vpp7" localSheetId="16">[3]T0!#REF!</definedName>
    <definedName name="_vpp7" localSheetId="17">[3]T0!#REF!</definedName>
    <definedName name="_vpp7">[3]T0!#REF!</definedName>
    <definedName name="_xlnm._FilterDatabase" localSheetId="13" hidden="1">'приложение 1'!$A$19:$BT$44</definedName>
    <definedName name="_xlnm._FilterDatabase" localSheetId="0" hidden="1">'приложение 1.1 '!$A$19:$BS$44</definedName>
    <definedName name="_xlnm._FilterDatabase" localSheetId="2" hidden="1">'приложение 1.2'!$A$18:$AJ$38</definedName>
    <definedName name="_xlnm._FilterDatabase" localSheetId="3" hidden="1">'приложение 1.3'!$A$18:$AW$37</definedName>
    <definedName name="_xlnm._FilterDatabase" localSheetId="4" hidden="1">'приложение 1.4.'!$A$27:$BH$40</definedName>
    <definedName name="_xlnm._FilterDatabase" localSheetId="14" hidden="1">'приложение 2'!$A$18:$AW$37</definedName>
    <definedName name="_xlnm._FilterDatabase" localSheetId="6" hidden="1">'приложение 2.2'!$A$17:$AX$24</definedName>
    <definedName name="bb" localSheetId="4">'приложение 1.4.'!bb</definedName>
    <definedName name="bb">[0]!bb</definedName>
    <definedName name="bbb" localSheetId="4">'приложение 1.4.'!bbb</definedName>
    <definedName name="bbb">[0]!bbb</definedName>
    <definedName name="cc" localSheetId="4">'приложение 1.4.'!cc</definedName>
    <definedName name="cc">[0]!cc</definedName>
    <definedName name="ccc" localSheetId="4">'приложение 1.4.'!ccc</definedName>
    <definedName name="ccc">[0]!ccc</definedName>
    <definedName name="ccccc" localSheetId="4">'приложение 1.4.'!ccccc</definedName>
    <definedName name="ccccc">[0]!ccccc</definedName>
    <definedName name="CompOt" localSheetId="4">'приложение 1.4.'!CompOt</definedName>
    <definedName name="CompOt">[0]!CompOt</definedName>
    <definedName name="CompRas" localSheetId="4">'приложение 1.4.'!CompRas</definedName>
    <definedName name="CompRas">[0]!CompRas</definedName>
    <definedName name="ee" localSheetId="4">'приложение 1.4.'!ee</definedName>
    <definedName name="ee">[0]!ee</definedName>
    <definedName name="ew" localSheetId="4">'приложение 1.4.'!ew</definedName>
    <definedName name="ew">[0]!ew</definedName>
    <definedName name="fg" localSheetId="4">'приложение 1.4.'!fg</definedName>
    <definedName name="fg">[0]!fg</definedName>
    <definedName name="HTML_CodePage" hidden="1">1251</definedName>
    <definedName name="HTML_Control" localSheetId="4" hidden="1">{"'D'!$A$1:$E$13"}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ii" localSheetId="4">'приложение 1.4.'!ii</definedName>
    <definedName name="ii">[0]!ii</definedName>
    <definedName name="jjj" localSheetId="4">'приложение 1.4.'!jjj</definedName>
    <definedName name="jjj">[0]!jjj</definedName>
    <definedName name="k" localSheetId="4">'приложение 1.4.'!k</definedName>
    <definedName name="k">[0]!k</definedName>
    <definedName name="kalk" localSheetId="4">'приложение 1.4.'!kalk</definedName>
    <definedName name="kalk">[0]!kalk</definedName>
    <definedName name="kk" localSheetId="4">'приложение 1.4.'!kk</definedName>
    <definedName name="kk">[0]!kk</definedName>
    <definedName name="kkk" localSheetId="4">'приложение 1.4.'!kkk</definedName>
    <definedName name="kkk">[0]!kkk</definedName>
    <definedName name="kop" localSheetId="4">'приложение 1.4.'!kop</definedName>
    <definedName name="kop">[0]!kop</definedName>
    <definedName name="polta" localSheetId="13">'[4]форма-прил к ф№1'!#REF!</definedName>
    <definedName name="polta" localSheetId="3">'[4]форма-прил к ф№1'!#REF!</definedName>
    <definedName name="polta" localSheetId="4">'[4]форма-прил к ф№1'!#REF!</definedName>
    <definedName name="polta" localSheetId="14">'[4]форма-прил к ф№1'!#REF!</definedName>
    <definedName name="polta" localSheetId="16">'[4]форма-прил к ф№1'!#REF!</definedName>
    <definedName name="polta" localSheetId="17">'[4]форма-прил к ф№1'!#REF!</definedName>
    <definedName name="polta">'[4]форма-прил к ф№1'!#REF!</definedName>
    <definedName name="qqq" localSheetId="4">'приложение 1.4.'!qqq</definedName>
    <definedName name="qqq">[0]!qqq</definedName>
    <definedName name="real" localSheetId="4">'приложение 1.4.'!real</definedName>
    <definedName name="real">[0]!real</definedName>
    <definedName name="rrr" localSheetId="4">'приложение 1.4.'!rrr</definedName>
    <definedName name="rrr">[0]!rrr</definedName>
    <definedName name="S1_" localSheetId="13">#REF!</definedName>
    <definedName name="S1_" localSheetId="3">#REF!</definedName>
    <definedName name="S1_" localSheetId="4">#REF!</definedName>
    <definedName name="S1_" localSheetId="14">#REF!</definedName>
    <definedName name="S1_" localSheetId="16">#REF!</definedName>
    <definedName name="S1_" localSheetId="17">#REF!</definedName>
    <definedName name="S1_">#REF!</definedName>
    <definedName name="S10_" localSheetId="13">#REF!</definedName>
    <definedName name="S10_" localSheetId="3">#REF!</definedName>
    <definedName name="S10_" localSheetId="4">#REF!</definedName>
    <definedName name="S10_" localSheetId="14">#REF!</definedName>
    <definedName name="S10_" localSheetId="16">#REF!</definedName>
    <definedName name="S10_" localSheetId="17">#REF!</definedName>
    <definedName name="S10_">#REF!</definedName>
    <definedName name="S11_" localSheetId="13">#REF!</definedName>
    <definedName name="S11_" localSheetId="3">#REF!</definedName>
    <definedName name="S11_" localSheetId="4">#REF!</definedName>
    <definedName name="S11_" localSheetId="14">#REF!</definedName>
    <definedName name="S11_" localSheetId="16">#REF!</definedName>
    <definedName name="S11_" localSheetId="17">#REF!</definedName>
    <definedName name="S11_">#REF!</definedName>
    <definedName name="S12_" localSheetId="13">#REF!</definedName>
    <definedName name="S12_" localSheetId="3">#REF!</definedName>
    <definedName name="S12_" localSheetId="4">#REF!</definedName>
    <definedName name="S12_" localSheetId="14">#REF!</definedName>
    <definedName name="S12_" localSheetId="16">#REF!</definedName>
    <definedName name="S12_" localSheetId="17">#REF!</definedName>
    <definedName name="S12_">#REF!</definedName>
    <definedName name="S13_" localSheetId="13">#REF!</definedName>
    <definedName name="S13_" localSheetId="3">#REF!</definedName>
    <definedName name="S13_" localSheetId="4">#REF!</definedName>
    <definedName name="S13_" localSheetId="14">#REF!</definedName>
    <definedName name="S13_" localSheetId="16">#REF!</definedName>
    <definedName name="S13_" localSheetId="17">#REF!</definedName>
    <definedName name="S13_">#REF!</definedName>
    <definedName name="S14_" localSheetId="13">#REF!</definedName>
    <definedName name="S14_" localSheetId="3">#REF!</definedName>
    <definedName name="S14_" localSheetId="4">#REF!</definedName>
    <definedName name="S14_" localSheetId="14">#REF!</definedName>
    <definedName name="S14_" localSheetId="16">#REF!</definedName>
    <definedName name="S14_" localSheetId="17">#REF!</definedName>
    <definedName name="S14_">#REF!</definedName>
    <definedName name="S15_" localSheetId="13">#REF!</definedName>
    <definedName name="S15_" localSheetId="3">#REF!</definedName>
    <definedName name="S15_" localSheetId="4">#REF!</definedName>
    <definedName name="S15_" localSheetId="14">#REF!</definedName>
    <definedName name="S15_" localSheetId="16">#REF!</definedName>
    <definedName name="S15_" localSheetId="17">#REF!</definedName>
    <definedName name="S15_">#REF!</definedName>
    <definedName name="S16_" localSheetId="13">#REF!</definedName>
    <definedName name="S16_" localSheetId="3">#REF!</definedName>
    <definedName name="S16_" localSheetId="4">#REF!</definedName>
    <definedName name="S16_" localSheetId="14">#REF!</definedName>
    <definedName name="S16_" localSheetId="16">#REF!</definedName>
    <definedName name="S16_" localSheetId="17">#REF!</definedName>
    <definedName name="S16_">#REF!</definedName>
    <definedName name="S17_" localSheetId="13">#REF!</definedName>
    <definedName name="S17_" localSheetId="3">#REF!</definedName>
    <definedName name="S17_" localSheetId="4">#REF!</definedName>
    <definedName name="S17_" localSheetId="14">#REF!</definedName>
    <definedName name="S17_" localSheetId="16">#REF!</definedName>
    <definedName name="S17_" localSheetId="17">#REF!</definedName>
    <definedName name="S17_">#REF!</definedName>
    <definedName name="S18_" localSheetId="13">#REF!</definedName>
    <definedName name="S18_" localSheetId="3">#REF!</definedName>
    <definedName name="S18_" localSheetId="4">#REF!</definedName>
    <definedName name="S18_" localSheetId="14">#REF!</definedName>
    <definedName name="S18_" localSheetId="16">#REF!</definedName>
    <definedName name="S18_" localSheetId="17">#REF!</definedName>
    <definedName name="S18_">#REF!</definedName>
    <definedName name="S19_" localSheetId="13">#REF!</definedName>
    <definedName name="S19_" localSheetId="3">#REF!</definedName>
    <definedName name="S19_" localSheetId="4">#REF!</definedName>
    <definedName name="S19_" localSheetId="14">#REF!</definedName>
    <definedName name="S19_" localSheetId="16">#REF!</definedName>
    <definedName name="S19_" localSheetId="17">#REF!</definedName>
    <definedName name="S19_">#REF!</definedName>
    <definedName name="S2_" localSheetId="13">#REF!</definedName>
    <definedName name="S2_" localSheetId="3">#REF!</definedName>
    <definedName name="S2_" localSheetId="4">#REF!</definedName>
    <definedName name="S2_" localSheetId="14">#REF!</definedName>
    <definedName name="S2_" localSheetId="16">#REF!</definedName>
    <definedName name="S2_" localSheetId="17">#REF!</definedName>
    <definedName name="S2_">#REF!</definedName>
    <definedName name="S20_" localSheetId="13">#REF!</definedName>
    <definedName name="S20_" localSheetId="3">#REF!</definedName>
    <definedName name="S20_" localSheetId="4">#REF!</definedName>
    <definedName name="S20_" localSheetId="14">#REF!</definedName>
    <definedName name="S20_" localSheetId="16">#REF!</definedName>
    <definedName name="S20_" localSheetId="17">#REF!</definedName>
    <definedName name="S20_">#REF!</definedName>
    <definedName name="S3_" localSheetId="13">#REF!</definedName>
    <definedName name="S3_" localSheetId="3">#REF!</definedName>
    <definedName name="S3_" localSheetId="4">#REF!</definedName>
    <definedName name="S3_" localSheetId="14">#REF!</definedName>
    <definedName name="S3_" localSheetId="16">#REF!</definedName>
    <definedName name="S3_" localSheetId="17">#REF!</definedName>
    <definedName name="S3_">#REF!</definedName>
    <definedName name="S4_" localSheetId="13">#REF!</definedName>
    <definedName name="S4_" localSheetId="3">#REF!</definedName>
    <definedName name="S4_" localSheetId="4">#REF!</definedName>
    <definedName name="S4_" localSheetId="14">#REF!</definedName>
    <definedName name="S4_" localSheetId="16">#REF!</definedName>
    <definedName name="S4_" localSheetId="17">#REF!</definedName>
    <definedName name="S4_">#REF!</definedName>
    <definedName name="S5_" localSheetId="13">#REF!</definedName>
    <definedName name="S5_" localSheetId="3">#REF!</definedName>
    <definedName name="S5_" localSheetId="4">#REF!</definedName>
    <definedName name="S5_" localSheetId="14">#REF!</definedName>
    <definedName name="S5_" localSheetId="16">#REF!</definedName>
    <definedName name="S5_" localSheetId="17">#REF!</definedName>
    <definedName name="S5_">#REF!</definedName>
    <definedName name="S6_" localSheetId="13">#REF!</definedName>
    <definedName name="S6_" localSheetId="3">#REF!</definedName>
    <definedName name="S6_" localSheetId="4">#REF!</definedName>
    <definedName name="S6_" localSheetId="14">#REF!</definedName>
    <definedName name="S6_" localSheetId="16">#REF!</definedName>
    <definedName name="S6_" localSheetId="17">#REF!</definedName>
    <definedName name="S6_">#REF!</definedName>
    <definedName name="S7_" localSheetId="13">#REF!</definedName>
    <definedName name="S7_" localSheetId="3">#REF!</definedName>
    <definedName name="S7_" localSheetId="4">#REF!</definedName>
    <definedName name="S7_" localSheetId="14">#REF!</definedName>
    <definedName name="S7_" localSheetId="16">#REF!</definedName>
    <definedName name="S7_" localSheetId="17">#REF!</definedName>
    <definedName name="S7_">#REF!</definedName>
    <definedName name="S8_" localSheetId="13">#REF!</definedName>
    <definedName name="S8_" localSheetId="3">#REF!</definedName>
    <definedName name="S8_" localSheetId="4">#REF!</definedName>
    <definedName name="S8_" localSheetId="14">#REF!</definedName>
    <definedName name="S8_" localSheetId="16">#REF!</definedName>
    <definedName name="S8_" localSheetId="17">#REF!</definedName>
    <definedName name="S8_">#REF!</definedName>
    <definedName name="S9_" localSheetId="13">#REF!</definedName>
    <definedName name="S9_" localSheetId="3">#REF!</definedName>
    <definedName name="S9_" localSheetId="4">#REF!</definedName>
    <definedName name="S9_" localSheetId="14">#REF!</definedName>
    <definedName name="S9_" localSheetId="16">#REF!</definedName>
    <definedName name="S9_" localSheetId="17">#REF!</definedName>
    <definedName name="S9_">#REF!</definedName>
    <definedName name="sencount" hidden="1">1</definedName>
    <definedName name="size">[1]T0!$B$1118</definedName>
    <definedName name="SSS">[1]T0!$B$685</definedName>
    <definedName name="tt" localSheetId="4">'приложение 1.4.'!tt</definedName>
    <definedName name="tt">[0]!tt</definedName>
    <definedName name="vvv" localSheetId="4">'приложение 1.4.'!vvv</definedName>
    <definedName name="vvv">[0]!vvv</definedName>
    <definedName name="wrn.Сравнение._.с._.отраслями." localSheetId="4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w" localSheetId="4">'приложение 1.4.'!ww</definedName>
    <definedName name="ww">[0]!ww</definedName>
    <definedName name="xxx" localSheetId="4">'приложение 1.4.'!xxx</definedName>
    <definedName name="xxx">[0]!xxx</definedName>
    <definedName name="yyy" localSheetId="4">'приложение 1.4.'!yyy</definedName>
    <definedName name="yyy">[0]!yyy</definedName>
    <definedName name="yyyy" localSheetId="4">'приложение 1.4.'!yyyy</definedName>
    <definedName name="yyyy">[0]!yyyy</definedName>
    <definedName name="Z_1D7396F8_559A_4DD5_B412_CAD3B9FC6EB9_.wvu.Cols" localSheetId="2" hidden="1">'приложение 1.2'!$AE:$AE</definedName>
    <definedName name="Z_1D7396F8_559A_4DD5_B412_CAD3B9FC6EB9_.wvu.Cols" localSheetId="8" hidden="1">'приложение 3.1'!$F:$G</definedName>
    <definedName name="Z_1D7396F8_559A_4DD5_B412_CAD3B9FC6EB9_.wvu.FilterData" localSheetId="13" hidden="1">'приложение 1'!$A$19:$X$44</definedName>
    <definedName name="Z_1D7396F8_559A_4DD5_B412_CAD3B9FC6EB9_.wvu.FilterData" localSheetId="0" hidden="1">'приложение 1.1 '!$A$19:$W$44</definedName>
    <definedName name="Z_1D7396F8_559A_4DD5_B412_CAD3B9FC6EB9_.wvu.FilterData" localSheetId="2" hidden="1">'приложение 1.2'!$B$18:$AI$38</definedName>
    <definedName name="Z_1D7396F8_559A_4DD5_B412_CAD3B9FC6EB9_.wvu.FilterData" localSheetId="3" hidden="1">'приложение 1.3'!$A$16:$R$22</definedName>
    <definedName name="Z_1D7396F8_559A_4DD5_B412_CAD3B9FC6EB9_.wvu.FilterData" localSheetId="14" hidden="1">'приложение 2'!$A$16:$R$22</definedName>
    <definedName name="Z_1D7396F8_559A_4DD5_B412_CAD3B9FC6EB9_.wvu.PrintArea" localSheetId="13" hidden="1">'приложение 1'!$A$1:$X$51</definedName>
    <definedName name="Z_1D7396F8_559A_4DD5_B412_CAD3B9FC6EB9_.wvu.PrintArea" localSheetId="0" hidden="1">'приложение 1.1 '!$A$1:$W$51</definedName>
    <definedName name="Z_1D7396F8_559A_4DD5_B412_CAD3B9FC6EB9_.wvu.PrintArea" localSheetId="2" hidden="1">'приложение 1.2'!$A$1:$AI$45</definedName>
    <definedName name="Z_1D7396F8_559A_4DD5_B412_CAD3B9FC6EB9_.wvu.PrintArea" localSheetId="3" hidden="1">'приложение 1.3'!$A$1:$R$44</definedName>
    <definedName name="Z_1D7396F8_559A_4DD5_B412_CAD3B9FC6EB9_.wvu.PrintArea" localSheetId="14" hidden="1">'приложение 2'!$A$1:$R$44</definedName>
    <definedName name="Z_1D7396F8_559A_4DD5_B412_CAD3B9FC6EB9_.wvu.PrintArea" localSheetId="16" hidden="1">'приложение 3'!$A$1:$H$48</definedName>
    <definedName name="Z_1D7396F8_559A_4DD5_B412_CAD3B9FC6EB9_.wvu.PrintArea" localSheetId="11" hidden="1">'приложение 4.2 '!$A$1:$H$46</definedName>
    <definedName name="Z_1D7396F8_559A_4DD5_B412_CAD3B9FC6EB9_.wvu.PrintTitles" localSheetId="10" hidden="1">'приложение 4.1 '!$14:$17</definedName>
    <definedName name="Z_1D7396F8_559A_4DD5_B412_CAD3B9FC6EB9_.wvu.PrintTitles" localSheetId="17" hidden="1">'приложение 6'!$14:$17</definedName>
    <definedName name="Z_3032BFAA_D5AA_408B_8B7D_D04A59F58408_.wvu.FilterData" localSheetId="6" hidden="1">'приложение 2.2'!$A$17:$AX$24</definedName>
    <definedName name="Z_39750778_B4CA_4A61_A93E_2C57443220F3_.wvu.Cols" localSheetId="2" hidden="1">'приложение 1.2'!$AI:$AI</definedName>
    <definedName name="Z_39750778_B4CA_4A61_A93E_2C57443220F3_.wvu.Cols" localSheetId="5" hidden="1">'приложение 2.1'!$Q:$Q</definedName>
    <definedName name="Z_39750778_B4CA_4A61_A93E_2C57443220F3_.wvu.Cols" localSheetId="8" hidden="1">'приложение 3.1'!$F:$G</definedName>
    <definedName name="Z_39750778_B4CA_4A61_A93E_2C57443220F3_.wvu.FilterData" localSheetId="13" hidden="1">'приложение 1'!$A$19:$BT$44</definedName>
    <definedName name="Z_39750778_B4CA_4A61_A93E_2C57443220F3_.wvu.FilterData" localSheetId="0" hidden="1">'приложение 1.1 '!$A$19:$BS$44</definedName>
    <definedName name="Z_39750778_B4CA_4A61_A93E_2C57443220F3_.wvu.FilterData" localSheetId="2" hidden="1">'приложение 1.2'!$A$18:$AJ$38</definedName>
    <definedName name="Z_39750778_B4CA_4A61_A93E_2C57443220F3_.wvu.FilterData" localSheetId="3" hidden="1">'приложение 1.3'!$A$18:$AW$37</definedName>
    <definedName name="Z_39750778_B4CA_4A61_A93E_2C57443220F3_.wvu.FilterData" localSheetId="14" hidden="1">'приложение 2'!$A$18:$AW$37</definedName>
    <definedName name="Z_39750778_B4CA_4A61_A93E_2C57443220F3_.wvu.FilterData" localSheetId="6" hidden="1">'приложение 2.2'!$A$17:$AX$24</definedName>
    <definedName name="Z_39750778_B4CA_4A61_A93E_2C57443220F3_.wvu.PrintArea" localSheetId="13" hidden="1">'приложение 1'!$A$1:$AC$45</definedName>
    <definedName name="Z_39750778_B4CA_4A61_A93E_2C57443220F3_.wvu.PrintArea" localSheetId="0" hidden="1">'приложение 1.1 '!$A$1:$AB$45</definedName>
    <definedName name="Z_39750778_B4CA_4A61_A93E_2C57443220F3_.wvu.PrintArea" localSheetId="3" hidden="1">'приложение 1.3'!$A$1:$AU$44</definedName>
    <definedName name="Z_39750778_B4CA_4A61_A93E_2C57443220F3_.wvu.PrintArea" localSheetId="14" hidden="1">'приложение 2'!$A$1:$AU$44</definedName>
    <definedName name="Z_39750778_B4CA_4A61_A93E_2C57443220F3_.wvu.PrintArea" localSheetId="6" hidden="1">'приложение 2.2'!$A$1:$AA$43</definedName>
    <definedName name="Z_39750778_B4CA_4A61_A93E_2C57443220F3_.wvu.PrintArea" localSheetId="16" hidden="1">'приложение 3'!$A$1:$H$48</definedName>
    <definedName name="Z_39750778_B4CA_4A61_A93E_2C57443220F3_.wvu.PrintArea" localSheetId="8" hidden="1">'приложение 3.1'!$A$1:$I$129</definedName>
    <definedName name="Z_39750778_B4CA_4A61_A93E_2C57443220F3_.wvu.PrintArea" localSheetId="10" hidden="1">'приложение 4.1 '!$A$1:$G$89</definedName>
    <definedName name="Z_39750778_B4CA_4A61_A93E_2C57443220F3_.wvu.PrintArea" localSheetId="11" hidden="1">'приложение 4.2 '!$A$1:$H$46</definedName>
    <definedName name="Z_39750778_B4CA_4A61_A93E_2C57443220F3_.wvu.PrintArea" localSheetId="12" hidden="1">'приложение 4.3 '!$A$1:$G$75</definedName>
    <definedName name="Z_39750778_B4CA_4A61_A93E_2C57443220F3_.wvu.PrintArea" localSheetId="17" hidden="1">'приложение 6'!$A$1:$G$88</definedName>
    <definedName name="Z_39750778_B4CA_4A61_A93E_2C57443220F3_.wvu.PrintTitles" localSheetId="13" hidden="1">'приложение 1'!$15:$18</definedName>
    <definedName name="Z_39750778_B4CA_4A61_A93E_2C57443220F3_.wvu.PrintTitles" localSheetId="0" hidden="1">'приложение 1.1 '!$15:$18</definedName>
    <definedName name="Z_39750778_B4CA_4A61_A93E_2C57443220F3_.wvu.PrintTitles" localSheetId="2" hidden="1">'приложение 1.2'!$14:$17</definedName>
    <definedName name="Z_39750778_B4CA_4A61_A93E_2C57443220F3_.wvu.PrintTitles" localSheetId="3" hidden="1">'приложение 1.3'!$13:$16</definedName>
    <definedName name="Z_39750778_B4CA_4A61_A93E_2C57443220F3_.wvu.PrintTitles" localSheetId="14" hidden="1">'приложение 2'!$13:$16</definedName>
    <definedName name="Z_39750778_B4CA_4A61_A93E_2C57443220F3_.wvu.PrintTitles" localSheetId="6" hidden="1">'приложение 2.2'!$12:$15</definedName>
    <definedName name="Z_39750778_B4CA_4A61_A93E_2C57443220F3_.wvu.PrintTitles" localSheetId="9" hidden="1">'приложение 3.2'!$15:$15</definedName>
    <definedName name="Z_39750778_B4CA_4A61_A93E_2C57443220F3_.wvu.PrintTitles" localSheetId="10" hidden="1">'приложение 4.1 '!$14:$17</definedName>
    <definedName name="Z_39750778_B4CA_4A61_A93E_2C57443220F3_.wvu.PrintTitles" localSheetId="17" hidden="1">'приложение 6'!$14:$17</definedName>
    <definedName name="Z_39750778_B4CA_4A61_A93E_2C57443220F3_.wvu.Rows" localSheetId="13" hidden="1">'приложение 1'!$36:$39</definedName>
    <definedName name="Z_39750778_B4CA_4A61_A93E_2C57443220F3_.wvu.Rows" localSheetId="0" hidden="1">'приложение 1.1 '!$36:$39</definedName>
    <definedName name="Z_39750778_B4CA_4A61_A93E_2C57443220F3_.wvu.Rows" localSheetId="2" hidden="1">'приложение 1.2'!$35:$38</definedName>
    <definedName name="Z_39750778_B4CA_4A61_A93E_2C57443220F3_.wvu.Rows" localSheetId="3" hidden="1">'приложение 1.3'!$34:$37</definedName>
    <definedName name="Z_39750778_B4CA_4A61_A93E_2C57443220F3_.wvu.Rows" localSheetId="6" hidden="1">'приложение 2.2'!$38:$41</definedName>
    <definedName name="Z_4C60970E_722B_465D_984E_96954712BF9E_.wvu.FilterData" localSheetId="0" hidden="1">'приложение 1.1 '!$A$19:$BS$44</definedName>
    <definedName name="Z_4C60970E_722B_465D_984E_96954712BF9E_.wvu.FilterData" localSheetId="2" hidden="1">'приложение 1.2'!$A$18:$AJ$38</definedName>
    <definedName name="Z_4F1CD1AE_56BF_481C_B46D_882B53F60A62_.wvu.Cols" localSheetId="2" hidden="1">'приложение 1.2'!$AE:$AE</definedName>
    <definedName name="Z_4F1CD1AE_56BF_481C_B46D_882B53F60A62_.wvu.Cols" localSheetId="8" hidden="1">'приложение 3.1'!$F:$G</definedName>
    <definedName name="Z_4F1CD1AE_56BF_481C_B46D_882B53F60A62_.wvu.FilterData" localSheetId="13" hidden="1">'приложение 1'!$A$19:$X$44</definedName>
    <definedName name="Z_4F1CD1AE_56BF_481C_B46D_882B53F60A62_.wvu.FilterData" localSheetId="0" hidden="1">'приложение 1.1 '!$A$19:$W$44</definedName>
    <definedName name="Z_4F1CD1AE_56BF_481C_B46D_882B53F60A62_.wvu.FilterData" localSheetId="2" hidden="1">'приложение 1.2'!$B$18:$AI$38</definedName>
    <definedName name="Z_4F1CD1AE_56BF_481C_B46D_882B53F60A62_.wvu.FilterData" localSheetId="3" hidden="1">'приложение 1.3'!$A$16:$R$22</definedName>
    <definedName name="Z_4F1CD1AE_56BF_481C_B46D_882B53F60A62_.wvu.FilterData" localSheetId="14" hidden="1">'приложение 2'!$A$16:$R$22</definedName>
    <definedName name="Z_4F1CD1AE_56BF_481C_B46D_882B53F60A62_.wvu.PrintArea" localSheetId="2" hidden="1">'приложение 1.2'!$A$1:$AI$45</definedName>
    <definedName name="Z_4F1CD1AE_56BF_481C_B46D_882B53F60A62_.wvu.PrintArea" localSheetId="16" hidden="1">'приложение 3'!$A$1:$H$48</definedName>
    <definedName name="Z_4F1CD1AE_56BF_481C_B46D_882B53F60A62_.wvu.PrintArea" localSheetId="8" hidden="1">'приложение 3.1'!$B$1:$I$129</definedName>
    <definedName name="Z_4F1CD1AE_56BF_481C_B46D_882B53F60A62_.wvu.PrintArea" localSheetId="11" hidden="1">'приложение 4.2 '!$A$1:$H$46</definedName>
    <definedName name="Z_4F1CD1AE_56BF_481C_B46D_882B53F60A62_.wvu.PrintTitles" localSheetId="10" hidden="1">'приложение 4.1 '!$14:$17</definedName>
    <definedName name="Z_4F1CD1AE_56BF_481C_B46D_882B53F60A62_.wvu.PrintTitles" localSheetId="17" hidden="1">'приложение 6'!$14:$17</definedName>
    <definedName name="Z_7480D686_972F_4793_95C6_3D9ED1E1ADD0_.wvu.Cols" localSheetId="2" hidden="1">'приложение 1.2'!$AE:$AE</definedName>
    <definedName name="Z_7480D686_972F_4793_95C6_3D9ED1E1ADD0_.wvu.Cols" localSheetId="8" hidden="1">'приложение 3.1'!$F:$G</definedName>
    <definedName name="Z_7480D686_972F_4793_95C6_3D9ED1E1ADD0_.wvu.FilterData" localSheetId="13" hidden="1">'приложение 1'!$A$19:$X$44</definedName>
    <definedName name="Z_7480D686_972F_4793_95C6_3D9ED1E1ADD0_.wvu.FilterData" localSheetId="0" hidden="1">'приложение 1.1 '!$A$19:$W$44</definedName>
    <definedName name="Z_7480D686_972F_4793_95C6_3D9ED1E1ADD0_.wvu.FilterData" localSheetId="2" hidden="1">'приложение 1.2'!$B$18:$AI$38</definedName>
    <definedName name="Z_7480D686_972F_4793_95C6_3D9ED1E1ADD0_.wvu.FilterData" localSheetId="3" hidden="1">'приложение 1.3'!$A$16:$R$22</definedName>
    <definedName name="Z_7480D686_972F_4793_95C6_3D9ED1E1ADD0_.wvu.FilterData" localSheetId="14" hidden="1">'приложение 2'!$A$16:$R$22</definedName>
    <definedName name="Z_7480D686_972F_4793_95C6_3D9ED1E1ADD0_.wvu.PrintArea" localSheetId="2" hidden="1">'приложение 1.2'!$A$1:$AI$45</definedName>
    <definedName name="Z_7480D686_972F_4793_95C6_3D9ED1E1ADD0_.wvu.PrintArea" localSheetId="3" hidden="1">'приложение 1.3'!$A$1:$R$44</definedName>
    <definedName name="Z_7480D686_972F_4793_95C6_3D9ED1E1ADD0_.wvu.PrintArea" localSheetId="14" hidden="1">'приложение 2'!$A$1:$R$44</definedName>
    <definedName name="Z_7480D686_972F_4793_95C6_3D9ED1E1ADD0_.wvu.PrintArea" localSheetId="16" hidden="1">'приложение 3'!$A$1:$H$48</definedName>
    <definedName name="Z_7480D686_972F_4793_95C6_3D9ED1E1ADD0_.wvu.PrintArea" localSheetId="8" hidden="1">'приложение 3.1'!$B$1:$I$129</definedName>
    <definedName name="Z_7480D686_972F_4793_95C6_3D9ED1E1ADD0_.wvu.PrintArea" localSheetId="11" hidden="1">'приложение 4.2 '!$A$1:$H$46</definedName>
    <definedName name="Z_7480D686_972F_4793_95C6_3D9ED1E1ADD0_.wvu.PrintTitles" localSheetId="10" hidden="1">'приложение 4.1 '!$14:$17</definedName>
    <definedName name="Z_7480D686_972F_4793_95C6_3D9ED1E1ADD0_.wvu.PrintTitles" localSheetId="17" hidden="1">'приложение 6'!$14:$17</definedName>
    <definedName name="Z_753EFBE3_B0FA_4782_B838_A656E3474919_.wvu.FilterData" localSheetId="13" hidden="1">'приложение 1'!$A$19:$X$44</definedName>
    <definedName name="Z_753EFBE3_B0FA_4782_B838_A656E3474919_.wvu.FilterData" localSheetId="0" hidden="1">'приложение 1.1 '!$A$19:$W$44</definedName>
    <definedName name="Z_8313A758_6764_4FAF_B5C3_0AC63E11C07D_.wvu.Cols" localSheetId="2" hidden="1">'приложение 1.2'!$AI:$AI</definedName>
    <definedName name="Z_8313A758_6764_4FAF_B5C3_0AC63E11C07D_.wvu.Cols" localSheetId="5" hidden="1">'приложение 2.1'!$Q:$Q</definedName>
    <definedName name="Z_8313A758_6764_4FAF_B5C3_0AC63E11C07D_.wvu.Cols" localSheetId="8" hidden="1">'приложение 3.1'!$F:$G</definedName>
    <definedName name="Z_8313A758_6764_4FAF_B5C3_0AC63E11C07D_.wvu.FilterData" localSheetId="13" hidden="1">'приложение 1'!$A$19:$BT$44</definedName>
    <definedName name="Z_8313A758_6764_4FAF_B5C3_0AC63E11C07D_.wvu.FilterData" localSheetId="0" hidden="1">'приложение 1.1 '!$A$19:$BS$44</definedName>
    <definedName name="Z_8313A758_6764_4FAF_B5C3_0AC63E11C07D_.wvu.FilterData" localSheetId="2" hidden="1">'приложение 1.2'!$A$18:$AJ$38</definedName>
    <definedName name="Z_8313A758_6764_4FAF_B5C3_0AC63E11C07D_.wvu.FilterData" localSheetId="3" hidden="1">'приложение 1.3'!$A$18:$AW$37</definedName>
    <definedName name="Z_8313A758_6764_4FAF_B5C3_0AC63E11C07D_.wvu.FilterData" localSheetId="14" hidden="1">'приложение 2'!$A$18:$AW$37</definedName>
    <definedName name="Z_8313A758_6764_4FAF_B5C3_0AC63E11C07D_.wvu.FilterData" localSheetId="6" hidden="1">'приложение 2.2'!$A$17:$AX$24</definedName>
    <definedName name="Z_8313A758_6764_4FAF_B5C3_0AC63E11C07D_.wvu.PrintArea" localSheetId="13" hidden="1">'приложение 1'!$A$1:$AC$45</definedName>
    <definedName name="Z_8313A758_6764_4FAF_B5C3_0AC63E11C07D_.wvu.PrintArea" localSheetId="0" hidden="1">'приложение 1.1 '!$A$1:$AB$45</definedName>
    <definedName name="Z_8313A758_6764_4FAF_B5C3_0AC63E11C07D_.wvu.PrintArea" localSheetId="3" hidden="1">'приложение 1.3'!$A$1:$AU$44</definedName>
    <definedName name="Z_8313A758_6764_4FAF_B5C3_0AC63E11C07D_.wvu.PrintArea" localSheetId="14" hidden="1">'приложение 2'!$A$1:$AU$44</definedName>
    <definedName name="Z_8313A758_6764_4FAF_B5C3_0AC63E11C07D_.wvu.PrintArea" localSheetId="6" hidden="1">'приложение 2.2'!$A$1:$AA$43</definedName>
    <definedName name="Z_8313A758_6764_4FAF_B5C3_0AC63E11C07D_.wvu.PrintArea" localSheetId="16" hidden="1">'приложение 3'!$A$1:$H$48</definedName>
    <definedName name="Z_8313A758_6764_4FAF_B5C3_0AC63E11C07D_.wvu.PrintArea" localSheetId="8" hidden="1">'приложение 3.1'!$A$1:$I$129</definedName>
    <definedName name="Z_8313A758_6764_4FAF_B5C3_0AC63E11C07D_.wvu.PrintArea" localSheetId="11" hidden="1">'приложение 4.2 '!$A$1:$H$46</definedName>
    <definedName name="Z_8313A758_6764_4FAF_B5C3_0AC63E11C07D_.wvu.PrintArea" localSheetId="17" hidden="1">'приложение 6'!$A$1:$G$88</definedName>
    <definedName name="Z_8313A758_6764_4FAF_B5C3_0AC63E11C07D_.wvu.PrintTitles" localSheetId="13" hidden="1">'приложение 1'!$15:$18</definedName>
    <definedName name="Z_8313A758_6764_4FAF_B5C3_0AC63E11C07D_.wvu.PrintTitles" localSheetId="0" hidden="1">'приложение 1.1 '!$15:$18</definedName>
    <definedName name="Z_8313A758_6764_4FAF_B5C3_0AC63E11C07D_.wvu.PrintTitles" localSheetId="2" hidden="1">'приложение 1.2'!$14:$17</definedName>
    <definedName name="Z_8313A758_6764_4FAF_B5C3_0AC63E11C07D_.wvu.PrintTitles" localSheetId="3" hidden="1">'приложение 1.3'!$13:$16</definedName>
    <definedName name="Z_8313A758_6764_4FAF_B5C3_0AC63E11C07D_.wvu.PrintTitles" localSheetId="14" hidden="1">'приложение 2'!$13:$16</definedName>
    <definedName name="Z_8313A758_6764_4FAF_B5C3_0AC63E11C07D_.wvu.PrintTitles" localSheetId="6" hidden="1">'приложение 2.2'!$12:$15</definedName>
    <definedName name="Z_8313A758_6764_4FAF_B5C3_0AC63E11C07D_.wvu.PrintTitles" localSheetId="9" hidden="1">'приложение 3.2'!$15:$15</definedName>
    <definedName name="Z_8313A758_6764_4FAF_B5C3_0AC63E11C07D_.wvu.PrintTitles" localSheetId="10" hidden="1">'приложение 4.1 '!$14:$17</definedName>
    <definedName name="Z_8313A758_6764_4FAF_B5C3_0AC63E11C07D_.wvu.PrintTitles" localSheetId="17" hidden="1">'приложение 6'!$14:$17</definedName>
    <definedName name="Z_8313A758_6764_4FAF_B5C3_0AC63E11C07D_.wvu.Rows" localSheetId="13" hidden="1">'приложение 1'!$36:$39</definedName>
    <definedName name="Z_8313A758_6764_4FAF_B5C3_0AC63E11C07D_.wvu.Rows" localSheetId="2" hidden="1">'приложение 1.2'!$35:$38</definedName>
    <definedName name="Z_8313A758_6764_4FAF_B5C3_0AC63E11C07D_.wvu.Rows" localSheetId="3" hidden="1">'приложение 1.3'!$34:$37</definedName>
    <definedName name="Z_8313A758_6764_4FAF_B5C3_0AC63E11C07D_.wvu.Rows" localSheetId="14" hidden="1">'приложение 2'!$34:$37</definedName>
    <definedName name="Z_8313A758_6764_4FAF_B5C3_0AC63E11C07D_.wvu.Rows" localSheetId="6" hidden="1">'приложение 2.2'!$38:$41</definedName>
    <definedName name="Z_96A85855_FEF1_4A4D_9B4C_609D498FEAF9_.wvu.FilterData" localSheetId="13" hidden="1">'приложение 1'!$A$19:$BT$44</definedName>
    <definedName name="Z_96A85855_FEF1_4A4D_9B4C_609D498FEAF9_.wvu.FilterData" localSheetId="0" hidden="1">'приложение 1.1 '!$A$19:$BS$44</definedName>
    <definedName name="Z_96A85855_FEF1_4A4D_9B4C_609D498FEAF9_.wvu.FilterData" localSheetId="2" hidden="1">'приложение 1.2'!$A$18:$AJ$38</definedName>
    <definedName name="Z_96A85855_FEF1_4A4D_9B4C_609D498FEAF9_.wvu.FilterData" localSheetId="14" hidden="1">'приложение 2'!$A$18:$AW$37</definedName>
    <definedName name="Z_96A85855_FEF1_4A4D_9B4C_609D498FEAF9_.wvu.FilterData" localSheetId="6" hidden="1">'приложение 2.2'!$A$17:$AX$24</definedName>
    <definedName name="Z_B8B92F61_B726_4C27_AF1E_B338B685E194_.wvu.FilterData" localSheetId="3" hidden="1">'приложение 1.3'!$A$18:$AW$37</definedName>
    <definedName name="Z_B8B92F61_B726_4C27_AF1E_B338B685E194_.wvu.FilterData" localSheetId="14" hidden="1">'приложение 2'!$A$18:$AW$37</definedName>
    <definedName name="Z_C8315E22_B7AB_498D_8B39_118CBB6D64CF_.wvu.Cols" localSheetId="2" hidden="1">'приложение 1.2'!$AE:$AE</definedName>
    <definedName name="Z_C8315E22_B7AB_498D_8B39_118CBB6D64CF_.wvu.Cols" localSheetId="8" hidden="1">'приложение 3.1'!$F:$G</definedName>
    <definedName name="Z_C8315E22_B7AB_498D_8B39_118CBB6D64CF_.wvu.FilterData" localSheetId="13" hidden="1">'приложение 1'!$A$19:$X$44</definedName>
    <definedName name="Z_C8315E22_B7AB_498D_8B39_118CBB6D64CF_.wvu.FilterData" localSheetId="0" hidden="1">'приложение 1.1 '!$A$19:$W$44</definedName>
    <definedName name="Z_C8315E22_B7AB_498D_8B39_118CBB6D64CF_.wvu.FilterData" localSheetId="2" hidden="1">'приложение 1.2'!$B$18:$AI$38</definedName>
    <definedName name="Z_C8315E22_B7AB_498D_8B39_118CBB6D64CF_.wvu.FilterData" localSheetId="3" hidden="1">'приложение 1.3'!$A$16:$R$22</definedName>
    <definedName name="Z_C8315E22_B7AB_498D_8B39_118CBB6D64CF_.wvu.FilterData" localSheetId="14" hidden="1">'приложение 2'!$A$16:$R$22</definedName>
    <definedName name="Z_C8315E22_B7AB_498D_8B39_118CBB6D64CF_.wvu.PrintArea" localSheetId="2" hidden="1">'приложение 1.2'!$A$1:$AI$45</definedName>
    <definedName name="Z_C8315E22_B7AB_498D_8B39_118CBB6D64CF_.wvu.PrintArea" localSheetId="8" hidden="1">'приложение 3.1'!$B$1:$I$129</definedName>
    <definedName name="Z_D1234401_B92E_47A8_88CA_60CCC5D8F15E_.wvu.Cols" localSheetId="2" hidden="1">'приложение 1.2'!$AE:$AE</definedName>
    <definedName name="Z_D1234401_B92E_47A8_88CA_60CCC5D8F15E_.wvu.Cols" localSheetId="8" hidden="1">'приложение 3.1'!$F:$G</definedName>
    <definedName name="Z_D1234401_B92E_47A8_88CA_60CCC5D8F15E_.wvu.FilterData" localSheetId="13" hidden="1">'приложение 1'!$A$19:$X$44</definedName>
    <definedName name="Z_D1234401_B92E_47A8_88CA_60CCC5D8F15E_.wvu.FilterData" localSheetId="0" hidden="1">'приложение 1.1 '!$A$19:$W$44</definedName>
    <definedName name="Z_D1234401_B92E_47A8_88CA_60CCC5D8F15E_.wvu.FilterData" localSheetId="2" hidden="1">'приложение 1.2'!$B$18:$AI$38</definedName>
    <definedName name="Z_D1234401_B92E_47A8_88CA_60CCC5D8F15E_.wvu.FilterData" localSheetId="3" hidden="1">'приложение 1.3'!$A$16:$R$22</definedName>
    <definedName name="Z_D1234401_B92E_47A8_88CA_60CCC5D8F15E_.wvu.FilterData" localSheetId="14" hidden="1">'приложение 2'!$A$16:$R$22</definedName>
    <definedName name="Z_D1234401_B92E_47A8_88CA_60CCC5D8F15E_.wvu.PrintArea" localSheetId="13" hidden="1">'приложение 1'!$A$1:$X$51</definedName>
    <definedName name="Z_D1234401_B92E_47A8_88CA_60CCC5D8F15E_.wvu.PrintArea" localSheetId="0" hidden="1">'приложение 1.1 '!$A$1:$W$51</definedName>
    <definedName name="Z_D1234401_B92E_47A8_88CA_60CCC5D8F15E_.wvu.PrintArea" localSheetId="2" hidden="1">'приложение 1.2'!$A$1:$AI$45</definedName>
    <definedName name="Z_D1234401_B92E_47A8_88CA_60CCC5D8F15E_.wvu.PrintArea" localSheetId="3" hidden="1">'приложение 1.3'!$A$1:$R$44</definedName>
    <definedName name="Z_D1234401_B92E_47A8_88CA_60CCC5D8F15E_.wvu.PrintArea" localSheetId="14" hidden="1">'приложение 2'!$A$1:$R$44</definedName>
    <definedName name="Z_D1234401_B92E_47A8_88CA_60CCC5D8F15E_.wvu.PrintArea" localSheetId="16" hidden="1">'приложение 3'!$A$1:$H$48</definedName>
    <definedName name="Z_D1234401_B92E_47A8_88CA_60CCC5D8F15E_.wvu.PrintArea" localSheetId="11" hidden="1">'приложение 4.2 '!$A$1:$H$46</definedName>
    <definedName name="Z_D1234401_B92E_47A8_88CA_60CCC5D8F15E_.wvu.PrintTitles" localSheetId="10" hidden="1">'приложение 4.1 '!$14:$17</definedName>
    <definedName name="Z_D1234401_B92E_47A8_88CA_60CCC5D8F15E_.wvu.PrintTitles" localSheetId="17" hidden="1">'приложение 6'!$14:$17</definedName>
    <definedName name="Z_EC03C00D_47BF_4C61_AC40_7967444A0F5A_.wvu.Cols" localSheetId="2" hidden="1">'приложение 1.2'!$AE:$AE</definedName>
    <definedName name="Z_EC03C00D_47BF_4C61_AC40_7967444A0F5A_.wvu.Cols" localSheetId="8" hidden="1">'приложение 3.1'!$F:$G</definedName>
    <definedName name="Z_EC03C00D_47BF_4C61_AC40_7967444A0F5A_.wvu.FilterData" localSheetId="13" hidden="1">'приложение 1'!$A$19:$X$44</definedName>
    <definedName name="Z_EC03C00D_47BF_4C61_AC40_7967444A0F5A_.wvu.FilterData" localSheetId="0" hidden="1">'приложение 1.1 '!$A$19:$W$44</definedName>
    <definedName name="Z_EC03C00D_47BF_4C61_AC40_7967444A0F5A_.wvu.FilterData" localSheetId="2" hidden="1">'приложение 1.2'!$B$18:$AI$38</definedName>
    <definedName name="Z_EC03C00D_47BF_4C61_AC40_7967444A0F5A_.wvu.FilterData" localSheetId="3" hidden="1">'приложение 1.3'!$A$16:$R$22</definedName>
    <definedName name="Z_EC03C00D_47BF_4C61_AC40_7967444A0F5A_.wvu.FilterData" localSheetId="14" hidden="1">'приложение 2'!$A$16:$R$22</definedName>
    <definedName name="Z_EC03C00D_47BF_4C61_AC40_7967444A0F5A_.wvu.PrintArea" localSheetId="2" hidden="1">'приложение 1.2'!$A$1:$AI$45</definedName>
    <definedName name="Z_EC03C00D_47BF_4C61_AC40_7967444A0F5A_.wvu.PrintArea" localSheetId="16" hidden="1">'приложение 3'!$A$1:$H$48</definedName>
    <definedName name="Z_EC03C00D_47BF_4C61_AC40_7967444A0F5A_.wvu.PrintArea" localSheetId="8" hidden="1">'приложение 3.1'!$B$1:$I$129</definedName>
    <definedName name="Z_EC03C00D_47BF_4C61_AC40_7967444A0F5A_.wvu.PrintArea" localSheetId="11" hidden="1">'приложение 4.2 '!$A$1:$H$46</definedName>
    <definedName name="Z_EC03C00D_47BF_4C61_AC40_7967444A0F5A_.wvu.PrintTitles" localSheetId="10" hidden="1">'приложение 4.1 '!$14:$17</definedName>
    <definedName name="Z_EC03C00D_47BF_4C61_AC40_7967444A0F5A_.wvu.PrintTitles" localSheetId="17" hidden="1">'приложение 6'!$14:$17</definedName>
    <definedName name="Z_F11A1048_BD2A_4E48_BFC7_C42B95DC19A6_.wvu.FilterData" localSheetId="13" hidden="1">'приложение 1'!$A$19:$BT$44</definedName>
    <definedName name="Z_F11A1048_BD2A_4E48_BFC7_C42B95DC19A6_.wvu.FilterData" localSheetId="0" hidden="1">'приложение 1.1 '!$A$19:$BS$44</definedName>
    <definedName name="Z_F11A1048_BD2A_4E48_BFC7_C42B95DC19A6_.wvu.FilterData" localSheetId="2" hidden="1">'приложение 1.2'!$A$18:$AJ$38</definedName>
    <definedName name="Z_F11A1048_BD2A_4E48_BFC7_C42B95DC19A6_.wvu.FilterData" localSheetId="3" hidden="1">'приложение 1.3'!$A$18:$AW$37</definedName>
    <definedName name="Z_F11A1048_BD2A_4E48_BFC7_C42B95DC19A6_.wvu.FilterData" localSheetId="14" hidden="1">'приложение 2'!$A$18:$AW$37</definedName>
    <definedName name="Z_F11A1048_BD2A_4E48_BFC7_C42B95DC19A6_.wvu.FilterData" localSheetId="6" hidden="1">'приложение 2.2'!$A$17:$AX$24</definedName>
    <definedName name="АААААААА" localSheetId="4">'приложение 1.4.'!АААААААА</definedName>
    <definedName name="АААААААА">[0]!АААААААА</definedName>
    <definedName name="авп" localSheetId="4">'приложение 1.4.'!авп</definedName>
    <definedName name="авп">[0]!авп</definedName>
    <definedName name="ап" localSheetId="4">'приложение 1.4.'!ап</definedName>
    <definedName name="ап">[0]!ап</definedName>
    <definedName name="апр" localSheetId="4">'приложение 1.4.'!апр</definedName>
    <definedName name="апр">[0]!апр</definedName>
    <definedName name="БазовыйПериод">[5]Заголовок!$B$15</definedName>
    <definedName name="в23ё" localSheetId="4">'приложение 1.4.'!в23ё</definedName>
    <definedName name="в23ё">[0]!в23ё</definedName>
    <definedName name="вапрк" localSheetId="4">'приложение 1.4.'!вапрк</definedName>
    <definedName name="вапрк">[0]!вапрк</definedName>
    <definedName name="вв" localSheetId="4">'приложение 1.4.'!вв</definedName>
    <definedName name="вв">[0]!вв</definedName>
    <definedName name="ввв" localSheetId="4">'приложение 1.4.'!ввв</definedName>
    <definedName name="ввв">[0]!ввв</definedName>
    <definedName name="второй" localSheetId="13">#REF!</definedName>
    <definedName name="второй" localSheetId="3">#REF!</definedName>
    <definedName name="второй" localSheetId="4">#REF!</definedName>
    <definedName name="второй" localSheetId="14">#REF!</definedName>
    <definedName name="второй" localSheetId="16">#REF!</definedName>
    <definedName name="второй" localSheetId="17">#REF!</definedName>
    <definedName name="второй">#REF!</definedName>
    <definedName name="вуув" localSheetId="4" hidden="1">{#N/A,#N/A,TRUE,"Лист1";#N/A,#N/A,TRUE,"Лист2";#N/A,#N/A,TRUE,"Лист3"}</definedName>
    <definedName name="вуув" hidden="1">{#N/A,#N/A,TRUE,"Лист1";#N/A,#N/A,TRUE,"Лист2";#N/A,#N/A,TRUE,"Лист3"}</definedName>
    <definedName name="грприрцфв00ав98" localSheetId="4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localSheetId="4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ДРУГОЕ">[5]Справочники!$A$28:$A$30</definedName>
    <definedName name="_xlnm.Print_Titles" localSheetId="13">'приложение 1'!$15:$18</definedName>
    <definedName name="_xlnm.Print_Titles" localSheetId="0">'приложение 1.1 '!$15:$18</definedName>
    <definedName name="_xlnm.Print_Titles" localSheetId="2">'приложение 1.2'!$14:$17</definedName>
    <definedName name="_xlnm.Print_Titles" localSheetId="3">'приложение 1.3'!$13:$16</definedName>
    <definedName name="_xlnm.Print_Titles" localSheetId="4">'приложение 1.4.'!$17:$26</definedName>
    <definedName name="_xlnm.Print_Titles" localSheetId="14">'приложение 2'!$13:$16</definedName>
    <definedName name="_xlnm.Print_Titles" localSheetId="6">'приложение 2.2'!$12:$15</definedName>
    <definedName name="_xlnm.Print_Titles" localSheetId="9">'приложение 3.2'!$15:$15</definedName>
    <definedName name="_xlnm.Print_Titles" localSheetId="10">'приложение 4.1 '!$14:$17</definedName>
    <definedName name="_xlnm.Print_Titles" localSheetId="17">'приложение 6'!$14:$17</definedName>
    <definedName name="И" localSheetId="4">'приложение 1.4.'!И</definedName>
    <definedName name="И">[0]!И</definedName>
    <definedName name="индцкавг98" localSheetId="4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й" localSheetId="4">'приложение 1.4.'!й</definedName>
    <definedName name="й">[0]!й</definedName>
    <definedName name="йй" localSheetId="4">'приложение 1.4.'!йй</definedName>
    <definedName name="йй">[0]!йй</definedName>
    <definedName name="ке" localSheetId="4">'приложение 1.4.'!ке</definedName>
    <definedName name="ке">[0]!ке</definedName>
    <definedName name="кеппппппппппп" localSheetId="4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ллллш" localSheetId="4">'приложение 1.4.'!ллллш</definedName>
    <definedName name="ллллш">[0]!ллллш</definedName>
    <definedName name="мам" localSheetId="4">'приложение 1.4.'!мам</definedName>
    <definedName name="мам">[0]!мам</definedName>
    <definedName name="мым" localSheetId="4">'приложение 1.4.'!мым</definedName>
    <definedName name="мым">[0]!мым</definedName>
    <definedName name="нг" localSheetId="4" hidden="1">{"'D'!$A$1:$E$13"}</definedName>
    <definedName name="нг" hidden="1">{"'D'!$A$1:$E$13"}</definedName>
    <definedName name="о" localSheetId="4" hidden="1">{#N/A,#N/A,TRUE,"Лист1";#N/A,#N/A,TRUE,"Лист2";#N/A,#N/A,TRUE,"Лист3"}</definedName>
    <definedName name="о" hidden="1">{#N/A,#N/A,TRUE,"Лист1";#N/A,#N/A,TRUE,"Лист2";#N/A,#N/A,TRUE,"Лист3"}</definedName>
    <definedName name="_xlnm.Print_Area" localSheetId="13">'приложение 1'!$A$1:$AC$45</definedName>
    <definedName name="_xlnm.Print_Area" localSheetId="0">'приложение 1.1 '!$A$1:$AB$45</definedName>
    <definedName name="_xlnm.Print_Area" localSheetId="3">'приложение 1.3'!$A$1:$AU$44</definedName>
    <definedName name="_xlnm.Print_Area" localSheetId="4">'приложение 1.4.'!$A$1:$W$47</definedName>
    <definedName name="_xlnm.Print_Area" localSheetId="14">'приложение 2'!$A$1:$AU$44</definedName>
    <definedName name="_xlnm.Print_Area" localSheetId="6">'приложение 2.2'!$A$1:$AA$43</definedName>
    <definedName name="_xlnm.Print_Area" localSheetId="7">'приложение 2.3'!$A$1:$AA$569</definedName>
    <definedName name="_xlnm.Print_Area" localSheetId="16">'приложение 3'!$A$1:$H$48</definedName>
    <definedName name="_xlnm.Print_Area" localSheetId="8">'приложение 3.1'!$A$1:$I$129</definedName>
    <definedName name="_xlnm.Print_Area" localSheetId="10">'приложение 4.1 '!$A$1:$G$89</definedName>
    <definedName name="_xlnm.Print_Area" localSheetId="11">'приложение 4.2 '!$A$1:$H$46</definedName>
    <definedName name="_xlnm.Print_Area" localSheetId="12">'приложение 4.3 '!$A$1:$G$75</definedName>
    <definedName name="_xlnm.Print_Area" localSheetId="17">'приложение 6'!$A$1:$G$88</definedName>
    <definedName name="павапп" localSheetId="4">'приложение 1.4.'!павапп</definedName>
    <definedName name="павапп">[0]!павапп</definedName>
    <definedName name="первый" localSheetId="13">#REF!</definedName>
    <definedName name="первый" localSheetId="3">#REF!</definedName>
    <definedName name="первый" localSheetId="4">#REF!</definedName>
    <definedName name="первый" localSheetId="14">#REF!</definedName>
    <definedName name="первый" localSheetId="16">#REF!</definedName>
    <definedName name="первый" localSheetId="17">#REF!</definedName>
    <definedName name="первый">#REF!</definedName>
    <definedName name="ПериодРегулирования">[5]Заголовок!$B$14</definedName>
    <definedName name="ПоследнийГод">[5]Заголовок!$B$16</definedName>
    <definedName name="прибыль3" localSheetId="4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РАО" localSheetId="4">'приложение 1.4.'!РАО</definedName>
    <definedName name="РАО">[0]!РАО</definedName>
    <definedName name="рис1" localSheetId="4" hidden="1">{#N/A,#N/A,TRUE,"Лист1";#N/A,#N/A,TRUE,"Лист2";#N/A,#N/A,TRUE,"Лист3"}</definedName>
    <definedName name="рис1" hidden="1">{#N/A,#N/A,TRUE,"Лист1";#N/A,#N/A,TRUE,"Лист2";#N/A,#N/A,TRUE,"Лист3"}</definedName>
    <definedName name="рощощощж" localSheetId="4">'приложение 1.4.'!рощощощж</definedName>
    <definedName name="рощощощж">[0]!рощощощж</definedName>
    <definedName name="с" localSheetId="4">'приложение 1.4.'!с</definedName>
    <definedName name="с">[0]!с</definedName>
    <definedName name="сс" localSheetId="4">'приложение 1.4.'!сс</definedName>
    <definedName name="сс">[0]!сс</definedName>
    <definedName name="сссс" localSheetId="4">'приложение 1.4.'!сссс</definedName>
    <definedName name="сссс">[0]!сссс</definedName>
    <definedName name="ссы" localSheetId="4">'приложение 1.4.'!ссы</definedName>
    <definedName name="ссы">[0]!ссы</definedName>
    <definedName name="т" localSheetId="4">'приложение 1.4.'!т</definedName>
    <definedName name="т">[0]!т</definedName>
    <definedName name="тп" localSheetId="4" hidden="1">{#N/A,#N/A,TRUE,"Лист1";#N/A,#N/A,TRUE,"Лист2";#N/A,#N/A,TRUE,"Лист3"}</definedName>
    <definedName name="тп" hidden="1">{#N/A,#N/A,TRUE,"Лист1";#N/A,#N/A,TRUE,"Лист2";#N/A,#N/A,TRUE,"Лист3"}</definedName>
    <definedName name="третий" localSheetId="13">#REF!</definedName>
    <definedName name="третий" localSheetId="3">#REF!</definedName>
    <definedName name="третий" localSheetId="4">#REF!</definedName>
    <definedName name="третий" localSheetId="14">#REF!</definedName>
    <definedName name="третий" localSheetId="16">#REF!</definedName>
    <definedName name="третий" localSheetId="17">#REF!</definedName>
    <definedName name="третий">#REF!</definedName>
    <definedName name="у" localSheetId="4">'приложение 1.4.'!у</definedName>
    <definedName name="у">[0]!у</definedName>
    <definedName name="УГОЛЬ">[5]Справочники!$A$21:$A$23</definedName>
    <definedName name="ук" localSheetId="4">'приложение 1.4.'!ук</definedName>
    <definedName name="ук">[0]!ук</definedName>
    <definedName name="укеееукеееееееееееееее" localSheetId="4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4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ффффф" localSheetId="4" hidden="1">{#N/A,#N/A,TRUE,"Лист1";#N/A,#N/A,TRUE,"Лист2";#N/A,#N/A,TRUE,"Лист3"}</definedName>
    <definedName name="фффффф" hidden="1">{#N/A,#N/A,TRUE,"Лист1";#N/A,#N/A,TRUE,"Лист2";#N/A,#N/A,TRUE,"Лист3"}</definedName>
    <definedName name="ц" localSheetId="4">'приложение 1.4.'!ц</definedName>
    <definedName name="ц">[0]!ц</definedName>
    <definedName name="цу" localSheetId="4">'приложение 1.4.'!цу</definedName>
    <definedName name="цу">[0]!цу</definedName>
    <definedName name="четвертый" localSheetId="13">#REF!</definedName>
    <definedName name="четвертый" localSheetId="3">#REF!</definedName>
    <definedName name="четвертый" localSheetId="4">#REF!</definedName>
    <definedName name="четвертый" localSheetId="14">#REF!</definedName>
    <definedName name="четвертый" localSheetId="16">#REF!</definedName>
    <definedName name="четвертый" localSheetId="17">#REF!</definedName>
    <definedName name="четвертый">#REF!</definedName>
    <definedName name="щ" localSheetId="4">'приложение 1.4.'!щ</definedName>
    <definedName name="щ">[0]!щ</definedName>
    <definedName name="ыв" localSheetId="4">'приложение 1.4.'!ыв</definedName>
    <definedName name="ыв">[0]!ыв</definedName>
    <definedName name="ыуаы" localSheetId="4" hidden="1">{#N/A,#N/A,TRUE,"Лист1";#N/A,#N/A,TRUE,"Лист2";#N/A,#N/A,TRUE,"Лист3"}</definedName>
    <definedName name="ыуаы" hidden="1">{#N/A,#N/A,TRUE,"Лист1";#N/A,#N/A,TRUE,"Лист2";#N/A,#N/A,TRUE,"Лист3"}</definedName>
    <definedName name="ыыыы" localSheetId="4">'приложение 1.4.'!ыыыы</definedName>
    <definedName name="ыыыы">[0]!ыыыы</definedName>
    <definedName name="ыэ" localSheetId="4">'приложение 1.4.'!ыэ</definedName>
    <definedName name="ыэ">[0]!ыэ</definedName>
    <definedName name="я" localSheetId="4">'приложение 1.4.'!я</definedName>
    <definedName name="я">[0]!я</definedName>
  </definedNames>
  <calcPr calcId="152511"/>
  <customWorkbookViews>
    <customWorkbookView name="Nata - Личное представление" guid="{4F1CD1AE-56BF-481C-B46D-882B53F60A62}" mergeInterval="0" personalView="1" maximized="1" windowWidth="1276" windowHeight="818" tabRatio="840" activeSheetId="8"/>
    <customWorkbookView name="AnnaR - Личное представление" guid="{7DF0696A-AEA3-4F0A-B537-6A75D5770C28}" mergeInterval="0" personalView="1" maximized="1" windowWidth="994" windowHeight="585" tabRatio="840" activeSheetId="8"/>
    <customWorkbookView name="Антон Н. Гуменников - Личное представление" guid="{D1234401-B92E-47A8-88CA-60CCC5D8F15E}" mergeInterval="0" personalView="1" maximized="1" xWindow="1" yWindow="1" windowWidth="1276" windowHeight="804" tabRatio="840" activeSheetId="9"/>
    <customWorkbookView name="Isakov - Личное представление" guid="{7480D686-972F-4793-95C6-3D9ED1E1ADD0}" mergeInterval="0" personalView="1" maximized="1" windowWidth="1276" windowHeight="825" tabRatio="840" activeSheetId="1"/>
    <customWorkbookView name="AnnaS - Личное представление" guid="{1D7396F8-559A-4DD5-B412-CAD3B9FC6EB9}" mergeInterval="0" personalView="1" maximized="1" windowWidth="1020" windowHeight="570" tabRatio="840" activeSheetId="7"/>
    <customWorkbookView name="Pasa - Личное представление" guid="{EC03C00D-47BF-4C61-AC40-7967444A0F5A}" mergeInterval="0" personalView="1" maximized="1" windowWidth="1276" windowHeight="758" tabRatio="840" activeSheetId="13"/>
    <customWorkbookView name="Швыдкая Юлия Олеговна - Личное представление" guid="{8313A758-6764-4FAF-B5C3-0AC63E11C07D}" mergeInterval="0" personalView="1" maximized="1" windowWidth="1916" windowHeight="864" tabRatio="845" activeSheetId="14"/>
    <customWorkbookView name="Ваньшина Рада Алексеевна - Личное представление" guid="{39750778-B4CA-4A61-A93E-2C57443220F3}" mergeInterval="0" personalView="1" maximized="1" windowWidth="1916" windowHeight="730" tabRatio="924" activeSheetId="16"/>
  </customWorkbookViews>
</workbook>
</file>

<file path=xl/calcChain.xml><?xml version="1.0" encoding="utf-8"?>
<calcChain xmlns="http://schemas.openxmlformats.org/spreadsheetml/2006/main">
  <c r="G16" i="11" l="1"/>
  <c r="E17" i="11"/>
  <c r="E16" i="11" s="1"/>
  <c r="C25" i="15"/>
  <c r="C26" i="15"/>
  <c r="G31" i="11"/>
  <c r="G65" i="10" s="1"/>
  <c r="E30" i="10"/>
  <c r="D24" i="11"/>
  <c r="D26" i="15" s="1"/>
  <c r="D17" i="11"/>
  <c r="D16" i="11" s="1"/>
  <c r="C17" i="11"/>
  <c r="C16" i="11" l="1"/>
  <c r="AO33" i="14"/>
  <c r="AM33" i="14"/>
  <c r="AL33" i="14"/>
  <c r="AI33" i="14"/>
  <c r="AH33" i="14"/>
  <c r="AG33" i="14"/>
  <c r="AG18" i="14" s="1"/>
  <c r="AF33" i="14"/>
  <c r="AE33" i="14"/>
  <c r="AD33" i="14"/>
  <c r="AC33" i="14"/>
  <c r="AC18" i="14" s="1"/>
  <c r="AB33" i="14"/>
  <c r="AT32" i="14"/>
  <c r="AR32" i="14"/>
  <c r="AQ32" i="14"/>
  <c r="AP32" i="14"/>
  <c r="AK32" i="14"/>
  <c r="AJ32" i="14"/>
  <c r="AT31" i="14"/>
  <c r="AT33" i="14" s="1"/>
  <c r="AS31" i="14"/>
  <c r="AR31" i="14"/>
  <c r="AQ31" i="14"/>
  <c r="AQ33" i="14" s="1"/>
  <c r="AP31" i="14"/>
  <c r="AP33" i="14" s="1"/>
  <c r="AK31" i="14"/>
  <c r="AK33" i="14" s="1"/>
  <c r="AJ31" i="14"/>
  <c r="AO29" i="14"/>
  <c r="AN29" i="14"/>
  <c r="AL29" i="14"/>
  <c r="AI29" i="14"/>
  <c r="AH29" i="14"/>
  <c r="AH18" i="14" s="1"/>
  <c r="AG29" i="14"/>
  <c r="AF29" i="14"/>
  <c r="AE29" i="14"/>
  <c r="AD29" i="14"/>
  <c r="AD18" i="14" s="1"/>
  <c r="AC29" i="14"/>
  <c r="AB29" i="14"/>
  <c r="AS28" i="14"/>
  <c r="AR28" i="14"/>
  <c r="AQ28" i="14"/>
  <c r="AP28" i="14"/>
  <c r="AM28" i="14" s="1"/>
  <c r="AK28" i="14"/>
  <c r="AJ28" i="14"/>
  <c r="AT27" i="14"/>
  <c r="AR27" i="14"/>
  <c r="AR29" i="14" s="1"/>
  <c r="AQ27" i="14"/>
  <c r="AP27" i="14"/>
  <c r="AP29" i="14" s="1"/>
  <c r="AK27" i="14"/>
  <c r="AK29" i="14" s="1"/>
  <c r="AJ27" i="14"/>
  <c r="AN25" i="14"/>
  <c r="AM25" i="14"/>
  <c r="AL25" i="14"/>
  <c r="AI25" i="14"/>
  <c r="AH25" i="14"/>
  <c r="AG25" i="14"/>
  <c r="AF25" i="14"/>
  <c r="AE25" i="14"/>
  <c r="AD25" i="14"/>
  <c r="AC25" i="14"/>
  <c r="AB25" i="14"/>
  <c r="AT24" i="14"/>
  <c r="AR24" i="14"/>
  <c r="AQ24" i="14"/>
  <c r="AP24" i="14"/>
  <c r="AK24" i="14"/>
  <c r="AJ24" i="14"/>
  <c r="AT23" i="14"/>
  <c r="AS23" i="14"/>
  <c r="AR23" i="14"/>
  <c r="AQ23" i="14"/>
  <c r="AP23" i="14"/>
  <c r="AT22" i="14"/>
  <c r="AQ22" i="14"/>
  <c r="AP22" i="14"/>
  <c r="AO22" i="14" s="1"/>
  <c r="AK22" i="14"/>
  <c r="AJ22" i="14"/>
  <c r="AT21" i="14"/>
  <c r="AS21" i="14"/>
  <c r="AP21" i="14"/>
  <c r="AK21" i="14"/>
  <c r="AK25" i="14" s="1"/>
  <c r="AJ21" i="14"/>
  <c r="AJ25" i="14" s="1"/>
  <c r="AL18" i="14"/>
  <c r="AI18" i="14"/>
  <c r="AF18" i="14"/>
  <c r="AE18" i="14"/>
  <c r="AB18" i="14"/>
  <c r="X23" i="1"/>
  <c r="E26" i="13"/>
  <c r="D26" i="13"/>
  <c r="D24" i="13"/>
  <c r="E24" i="13"/>
  <c r="E23" i="13"/>
  <c r="D23" i="13"/>
  <c r="G34" i="13"/>
  <c r="H34" i="13"/>
  <c r="H33" i="13"/>
  <c r="G33" i="13"/>
  <c r="X34" i="13"/>
  <c r="Y34" i="13"/>
  <c r="Z34" i="13"/>
  <c r="AB34" i="13"/>
  <c r="AB33" i="13"/>
  <c r="AA33" i="13"/>
  <c r="Z33" i="13"/>
  <c r="Y33" i="13"/>
  <c r="X33" i="13"/>
  <c r="AP25" i="14" l="1"/>
  <c r="AP18" i="14" s="1"/>
  <c r="AM27" i="14"/>
  <c r="AM29" i="14" s="1"/>
  <c r="AM18" i="14" s="1"/>
  <c r="AJ33" i="14"/>
  <c r="AR33" i="14"/>
  <c r="AQ29" i="14"/>
  <c r="AT25" i="14"/>
  <c r="AO21" i="14"/>
  <c r="AO25" i="14" s="1"/>
  <c r="AO18" i="14" s="1"/>
  <c r="AJ29" i="14"/>
  <c r="AJ18" i="14" s="1"/>
  <c r="AK18" i="14"/>
  <c r="AU23" i="14"/>
  <c r="AN31" i="14"/>
  <c r="AN33" i="14" s="1"/>
  <c r="AN18" i="14" s="1"/>
  <c r="AU31" i="14"/>
  <c r="G30" i="13"/>
  <c r="G29" i="13"/>
  <c r="H30" i="13"/>
  <c r="X30" i="13"/>
  <c r="Y30" i="13"/>
  <c r="Z30" i="13"/>
  <c r="AA30" i="13"/>
  <c r="AB29" i="13"/>
  <c r="Z29" i="13"/>
  <c r="Y29" i="13"/>
  <c r="X29" i="13"/>
  <c r="H29" i="13"/>
  <c r="AB26" i="13"/>
  <c r="Z26" i="13"/>
  <c r="Y26" i="13"/>
  <c r="X26" i="13"/>
  <c r="H26" i="13"/>
  <c r="G26" i="13"/>
  <c r="G24" i="13"/>
  <c r="H24" i="13"/>
  <c r="L24" i="13"/>
  <c r="M24" i="13"/>
  <c r="N24" i="13"/>
  <c r="O24" i="13"/>
  <c r="P24" i="13"/>
  <c r="Q24" i="13"/>
  <c r="R24" i="13"/>
  <c r="S24" i="13"/>
  <c r="T24" i="13"/>
  <c r="U24" i="13"/>
  <c r="X24" i="13"/>
  <c r="Y24" i="13"/>
  <c r="AB24" i="13"/>
  <c r="H23" i="13"/>
  <c r="L23" i="13"/>
  <c r="M23" i="13"/>
  <c r="N23" i="13"/>
  <c r="O23" i="13"/>
  <c r="P23" i="13"/>
  <c r="Q23" i="13"/>
  <c r="R23" i="13"/>
  <c r="S23" i="13"/>
  <c r="T23" i="13"/>
  <c r="U23" i="13"/>
  <c r="Y23" i="13"/>
  <c r="AA23" i="13"/>
  <c r="AB23" i="13"/>
  <c r="G23" i="13"/>
  <c r="AP32" i="4"/>
  <c r="AQ32" i="4"/>
  <c r="AR32" i="4"/>
  <c r="AT32" i="4"/>
  <c r="AT31" i="4"/>
  <c r="AS31" i="4"/>
  <c r="AR31" i="4"/>
  <c r="AQ31" i="4"/>
  <c r="AP31" i="4"/>
  <c r="AP28" i="4"/>
  <c r="AQ28" i="4"/>
  <c r="AR28" i="4"/>
  <c r="AS28" i="4"/>
  <c r="AT27" i="4"/>
  <c r="AR27" i="4"/>
  <c r="AQ27" i="4"/>
  <c r="AP27" i="4"/>
  <c r="AP22" i="4"/>
  <c r="AQ22" i="4"/>
  <c r="AT22" i="4"/>
  <c r="AP23" i="4"/>
  <c r="AQ23" i="4"/>
  <c r="AR23" i="4"/>
  <c r="AS23" i="4"/>
  <c r="AT23" i="4"/>
  <c r="AP24" i="4"/>
  <c r="AQ24" i="4"/>
  <c r="AR24" i="4"/>
  <c r="AT24" i="4"/>
  <c r="AS21" i="4"/>
  <c r="AT21" i="4"/>
  <c r="AP21" i="4"/>
  <c r="Y24" i="1" l="1"/>
  <c r="Z24" i="1"/>
  <c r="J34" i="1"/>
  <c r="K34" i="13" s="1"/>
  <c r="J33" i="1"/>
  <c r="K33" i="13" s="1"/>
  <c r="J30" i="1"/>
  <c r="K30" i="13" s="1"/>
  <c r="J29" i="1"/>
  <c r="K29" i="13" s="1"/>
  <c r="J26" i="1"/>
  <c r="K26" i="13" s="1"/>
  <c r="J24" i="1"/>
  <c r="K24" i="13" s="1"/>
  <c r="J23" i="1"/>
  <c r="K23" i="13" s="1"/>
  <c r="W23" i="1"/>
  <c r="AQ21" i="14" l="1"/>
  <c r="AQ21" i="4"/>
  <c r="X23" i="13"/>
  <c r="Y23" i="1"/>
  <c r="AS22" i="14"/>
  <c r="AS22" i="4"/>
  <c r="AA24" i="13"/>
  <c r="AR22" i="14"/>
  <c r="AU22" i="14" s="1"/>
  <c r="AR22" i="4"/>
  <c r="Z24" i="13"/>
  <c r="K35" i="13"/>
  <c r="AR21" i="14" l="1"/>
  <c r="AR25" i="14" s="1"/>
  <c r="AR18" i="14" s="1"/>
  <c r="AR17" i="14" s="1"/>
  <c r="Z23" i="13"/>
  <c r="AR21" i="4"/>
  <c r="AQ25" i="14"/>
  <c r="AQ18" i="14" s="1"/>
  <c r="G20" i="10"/>
  <c r="F20" i="10"/>
  <c r="E20" i="10"/>
  <c r="D20" i="10"/>
  <c r="F17" i="11"/>
  <c r="C43" i="10"/>
  <c r="C38" i="10" s="1"/>
  <c r="F16" i="11" l="1"/>
  <c r="H17" i="11"/>
  <c r="AU21" i="14"/>
  <c r="AQ17" i="14"/>
  <c r="C28" i="10"/>
  <c r="D28" i="10"/>
  <c r="E28" i="10"/>
  <c r="F28" i="10"/>
  <c r="C23" i="10" l="1"/>
  <c r="G28" i="10" l="1"/>
  <c r="G30" i="10"/>
  <c r="F30" i="10"/>
  <c r="F24" i="11" s="1"/>
  <c r="F23" i="11" s="1"/>
  <c r="D47" i="10"/>
  <c r="E47" i="10"/>
  <c r="F47" i="10"/>
  <c r="G47" i="10"/>
  <c r="C47" i="10"/>
  <c r="G35" i="10"/>
  <c r="F35" i="10"/>
  <c r="E35" i="10"/>
  <c r="D35" i="10"/>
  <c r="G31" i="10"/>
  <c r="F31" i="10"/>
  <c r="E31" i="10"/>
  <c r="D31" i="10"/>
  <c r="D29" i="10"/>
  <c r="G26" i="10"/>
  <c r="F26" i="10"/>
  <c r="E26" i="10"/>
  <c r="D26" i="10"/>
  <c r="C35" i="10" l="1"/>
  <c r="C32" i="10"/>
  <c r="C29" i="10"/>
  <c r="C26" i="10"/>
  <c r="C18" i="10"/>
  <c r="C20" i="10" s="1"/>
  <c r="G60" i="12" l="1"/>
  <c r="G59" i="12"/>
  <c r="F29" i="10"/>
  <c r="E29" i="10"/>
  <c r="C31" i="10"/>
  <c r="C22" i="10" s="1"/>
  <c r="C37" i="10" s="1"/>
  <c r="E18" i="10"/>
  <c r="E32" i="10" l="1"/>
  <c r="D18" i="10"/>
  <c r="F18" i="10" l="1"/>
  <c r="G18" i="10"/>
  <c r="E40" i="19"/>
  <c r="D40" i="19"/>
  <c r="P40" i="19" s="1"/>
  <c r="E39" i="19"/>
  <c r="D39" i="19"/>
  <c r="E38" i="19"/>
  <c r="N38" i="19" s="1"/>
  <c r="D38" i="19"/>
  <c r="P38" i="19" s="1"/>
  <c r="E37" i="19"/>
  <c r="D37" i="19"/>
  <c r="E36" i="19"/>
  <c r="D36" i="19"/>
  <c r="E35" i="19"/>
  <c r="N35" i="19" s="1"/>
  <c r="D35" i="19"/>
  <c r="P35" i="19" s="1"/>
  <c r="E34" i="19"/>
  <c r="D34" i="19"/>
  <c r="P34" i="19" s="1"/>
  <c r="E33" i="19"/>
  <c r="N33" i="19" s="1"/>
  <c r="D33" i="19"/>
  <c r="P33" i="19" s="1"/>
  <c r="E32" i="19"/>
  <c r="D32" i="19"/>
  <c r="E31" i="19"/>
  <c r="D31" i="19"/>
  <c r="E30" i="19"/>
  <c r="N30" i="19" s="1"/>
  <c r="D30" i="19"/>
  <c r="P30" i="19" s="1"/>
  <c r="V29" i="19"/>
  <c r="V28" i="19" s="1"/>
  <c r="V27" i="19" s="1"/>
  <c r="U29" i="19"/>
  <c r="U28" i="19" s="1"/>
  <c r="U27" i="19" s="1"/>
  <c r="T29" i="19"/>
  <c r="T28" i="19" s="1"/>
  <c r="T27" i="19" s="1"/>
  <c r="S29" i="19"/>
  <c r="R29" i="19"/>
  <c r="R28" i="19" s="1"/>
  <c r="R27" i="19" s="1"/>
  <c r="M29" i="19"/>
  <c r="M28" i="19" s="1"/>
  <c r="M27" i="19" s="1"/>
  <c r="L29" i="19"/>
  <c r="L28" i="19" s="1"/>
  <c r="L27" i="19" s="1"/>
  <c r="K29" i="19"/>
  <c r="K28" i="19" s="1"/>
  <c r="K27" i="19" s="1"/>
  <c r="J29" i="19"/>
  <c r="J28" i="19" s="1"/>
  <c r="J27" i="19" s="1"/>
  <c r="I29" i="19"/>
  <c r="I28" i="19" s="1"/>
  <c r="I27" i="19" s="1"/>
  <c r="H29" i="19"/>
  <c r="H28" i="19" s="1"/>
  <c r="H27" i="19" s="1"/>
  <c r="G29" i="19"/>
  <c r="G28" i="19" s="1"/>
  <c r="G27" i="19" s="1"/>
  <c r="F29" i="19"/>
  <c r="F28" i="19" s="1"/>
  <c r="F27" i="19" s="1"/>
  <c r="S28" i="19"/>
  <c r="S27" i="19" s="1"/>
  <c r="O34" i="19" l="1"/>
  <c r="Q34" i="19" s="1"/>
  <c r="E29" i="19"/>
  <c r="E28" i="19" s="1"/>
  <c r="O36" i="19"/>
  <c r="Q36" i="19" s="1"/>
  <c r="O38" i="19"/>
  <c r="Q38" i="19" s="1"/>
  <c r="O35" i="19"/>
  <c r="Q35" i="19" s="1"/>
  <c r="O37" i="19"/>
  <c r="Q37" i="19" s="1"/>
  <c r="O32" i="19"/>
  <c r="Q32" i="19" s="1"/>
  <c r="O33" i="19"/>
  <c r="Q33" i="19" s="1"/>
  <c r="O39" i="19"/>
  <c r="Q39" i="19" s="1"/>
  <c r="O40" i="19"/>
  <c r="Q40" i="19" s="1"/>
  <c r="D29" i="19"/>
  <c r="D28" i="19" s="1"/>
  <c r="D27" i="19" s="1"/>
  <c r="O30" i="19"/>
  <c r="Q30" i="19" s="1"/>
  <c r="O31" i="19"/>
  <c r="Q31" i="19" s="1"/>
  <c r="P31" i="19"/>
  <c r="P37" i="19"/>
  <c r="P36" i="19" l="1"/>
  <c r="Q29" i="19"/>
  <c r="Q28" i="19" s="1"/>
  <c r="Q27" i="19" s="1"/>
  <c r="P39" i="19"/>
  <c r="P32" i="19"/>
  <c r="O28" i="19"/>
  <c r="P28" i="19" s="1"/>
  <c r="E27" i="19"/>
  <c r="O27" i="19" s="1"/>
  <c r="P27" i="19" s="1"/>
  <c r="O29" i="19"/>
  <c r="P29" i="19" s="1"/>
  <c r="C24" i="16"/>
  <c r="D24" i="16"/>
  <c r="E24" i="16"/>
  <c r="F24" i="16"/>
  <c r="G24" i="16"/>
  <c r="C25" i="16"/>
  <c r="D25" i="16"/>
  <c r="E25" i="16"/>
  <c r="F25" i="16"/>
  <c r="G25" i="16"/>
  <c r="C26" i="16"/>
  <c r="C27" i="16"/>
  <c r="C28" i="16"/>
  <c r="D28" i="16"/>
  <c r="E28" i="16"/>
  <c r="F28" i="16"/>
  <c r="C29" i="16"/>
  <c r="D29" i="16"/>
  <c r="E29" i="16"/>
  <c r="F29" i="16"/>
  <c r="C30" i="16"/>
  <c r="D30" i="16"/>
  <c r="E30" i="16"/>
  <c r="F30" i="16"/>
  <c r="C32" i="16"/>
  <c r="D32" i="16"/>
  <c r="E32" i="16"/>
  <c r="F32" i="16"/>
  <c r="G32" i="16"/>
  <c r="C33" i="16"/>
  <c r="D33" i="16"/>
  <c r="E33" i="16"/>
  <c r="C34" i="16"/>
  <c r="D34" i="16"/>
  <c r="E34" i="16"/>
  <c r="F34" i="16"/>
  <c r="C35" i="16"/>
  <c r="D35" i="16"/>
  <c r="E35" i="16"/>
  <c r="F35" i="16"/>
  <c r="G35" i="16"/>
  <c r="C38" i="16"/>
  <c r="D38" i="16"/>
  <c r="E38" i="16"/>
  <c r="F38" i="16"/>
  <c r="G38" i="16"/>
  <c r="C39" i="16"/>
  <c r="D39" i="16"/>
  <c r="E39" i="16"/>
  <c r="F39" i="16"/>
  <c r="G39" i="16"/>
  <c r="C40" i="16"/>
  <c r="D40" i="16"/>
  <c r="E40" i="16"/>
  <c r="F40" i="16"/>
  <c r="G40" i="16"/>
  <c r="C41" i="16"/>
  <c r="D41" i="16"/>
  <c r="E41" i="16"/>
  <c r="F41" i="16"/>
  <c r="G41" i="16"/>
  <c r="C43" i="16"/>
  <c r="D43" i="16"/>
  <c r="E43" i="16"/>
  <c r="F43" i="16"/>
  <c r="G43" i="16"/>
  <c r="C44" i="16"/>
  <c r="C48" i="16"/>
  <c r="D48" i="16"/>
  <c r="E48" i="16"/>
  <c r="F48" i="16"/>
  <c r="G48" i="16"/>
  <c r="C49" i="16"/>
  <c r="D49" i="16"/>
  <c r="E49" i="16"/>
  <c r="F49" i="16"/>
  <c r="G49" i="16"/>
  <c r="C50" i="16"/>
  <c r="D50" i="16"/>
  <c r="E50" i="16"/>
  <c r="F50" i="16"/>
  <c r="G50" i="16"/>
  <c r="D51" i="16"/>
  <c r="E51" i="16"/>
  <c r="F51" i="16"/>
  <c r="G51" i="16"/>
  <c r="C52" i="16"/>
  <c r="D52" i="16"/>
  <c r="E52" i="16"/>
  <c r="F52" i="16"/>
  <c r="G52" i="16"/>
  <c r="C53" i="16"/>
  <c r="D53" i="16"/>
  <c r="E53" i="16"/>
  <c r="F53" i="16"/>
  <c r="C54" i="16"/>
  <c r="D54" i="16"/>
  <c r="E54" i="16"/>
  <c r="F54" i="16"/>
  <c r="G54" i="16"/>
  <c r="C55" i="16"/>
  <c r="D55" i="16"/>
  <c r="E55" i="16"/>
  <c r="F55" i="16"/>
  <c r="G55" i="16"/>
  <c r="C56" i="16"/>
  <c r="D56" i="16"/>
  <c r="E56" i="16"/>
  <c r="F56" i="16"/>
  <c r="G56" i="16"/>
  <c r="C57" i="16"/>
  <c r="D57" i="16"/>
  <c r="E57" i="16"/>
  <c r="F57" i="16"/>
  <c r="G57" i="16"/>
  <c r="C58" i="16"/>
  <c r="D58" i="16"/>
  <c r="E58" i="16"/>
  <c r="F58" i="16"/>
  <c r="G58" i="16"/>
  <c r="C59" i="16"/>
  <c r="D59" i="16"/>
  <c r="E59" i="16"/>
  <c r="F59" i="16"/>
  <c r="G59" i="16"/>
  <c r="C60" i="16"/>
  <c r="D60" i="16"/>
  <c r="E60" i="16"/>
  <c r="F60" i="16"/>
  <c r="G60" i="16"/>
  <c r="C61" i="16"/>
  <c r="D61" i="16"/>
  <c r="E61" i="16"/>
  <c r="F61" i="16"/>
  <c r="G61" i="16"/>
  <c r="C63" i="16"/>
  <c r="D63" i="16"/>
  <c r="E63" i="16"/>
  <c r="F63" i="16"/>
  <c r="G63" i="16"/>
  <c r="G64" i="16"/>
  <c r="C65" i="16"/>
  <c r="D65" i="16"/>
  <c r="E65" i="16"/>
  <c r="F65" i="16"/>
  <c r="G65" i="16"/>
  <c r="C66" i="16"/>
  <c r="D66" i="16"/>
  <c r="E66" i="16"/>
  <c r="F66" i="16"/>
  <c r="G66" i="16"/>
  <c r="C67" i="16"/>
  <c r="D67" i="16"/>
  <c r="E67" i="16"/>
  <c r="F67" i="16"/>
  <c r="G67" i="16"/>
  <c r="C68" i="16"/>
  <c r="D68" i="16"/>
  <c r="E68" i="16"/>
  <c r="F68" i="16"/>
  <c r="G68" i="16"/>
  <c r="C69" i="16"/>
  <c r="D69" i="16"/>
  <c r="E69" i="16"/>
  <c r="F69" i="16"/>
  <c r="G69" i="16"/>
  <c r="C70" i="16"/>
  <c r="D70" i="16"/>
  <c r="E70" i="16"/>
  <c r="F70" i="16"/>
  <c r="G70" i="16"/>
  <c r="C71" i="16"/>
  <c r="D71" i="16"/>
  <c r="E71" i="16"/>
  <c r="F71" i="16"/>
  <c r="G71" i="16"/>
  <c r="C72" i="16"/>
  <c r="D72" i="16"/>
  <c r="E72" i="16"/>
  <c r="F72" i="16"/>
  <c r="G72" i="16"/>
  <c r="C73" i="16"/>
  <c r="D73" i="16"/>
  <c r="E73" i="16"/>
  <c r="F73" i="16"/>
  <c r="G73" i="16"/>
  <c r="C74" i="16"/>
  <c r="D74" i="16"/>
  <c r="E74" i="16"/>
  <c r="F74" i="16"/>
  <c r="G74" i="16"/>
  <c r="C75" i="16"/>
  <c r="D75" i="16"/>
  <c r="E75" i="16"/>
  <c r="F75" i="16"/>
  <c r="G75" i="16"/>
  <c r="C76" i="16"/>
  <c r="D76" i="16"/>
  <c r="E76" i="16"/>
  <c r="F76" i="16"/>
  <c r="G76" i="16"/>
  <c r="C78" i="16"/>
  <c r="D78" i="16"/>
  <c r="E78" i="16"/>
  <c r="F78" i="16"/>
  <c r="G78" i="16"/>
  <c r="C19" i="16"/>
  <c r="D19" i="16"/>
  <c r="E19" i="16"/>
  <c r="F19" i="16"/>
  <c r="G19" i="16"/>
  <c r="C21" i="16"/>
  <c r="D18" i="16"/>
  <c r="E18" i="16"/>
  <c r="F18" i="16"/>
  <c r="C18" i="16"/>
  <c r="C19" i="15"/>
  <c r="D19" i="15"/>
  <c r="E19" i="15"/>
  <c r="F19" i="15"/>
  <c r="H19" i="15"/>
  <c r="C20" i="15"/>
  <c r="D20" i="15"/>
  <c r="E20" i="15"/>
  <c r="F20" i="15"/>
  <c r="G20" i="15"/>
  <c r="H20" i="15"/>
  <c r="C21" i="15"/>
  <c r="D21" i="15"/>
  <c r="E21" i="15"/>
  <c r="F21" i="15"/>
  <c r="G21" i="15"/>
  <c r="H21" i="15"/>
  <c r="D22" i="15"/>
  <c r="E22" i="15"/>
  <c r="F22" i="15"/>
  <c r="G22" i="15"/>
  <c r="H22" i="15"/>
  <c r="C23" i="15"/>
  <c r="D23" i="15"/>
  <c r="E23" i="15"/>
  <c r="F23" i="15"/>
  <c r="G23" i="15"/>
  <c r="H23" i="15"/>
  <c r="C24" i="15"/>
  <c r="D24" i="15"/>
  <c r="E24" i="15"/>
  <c r="F24" i="15"/>
  <c r="G24" i="15"/>
  <c r="H24" i="15"/>
  <c r="C27" i="15"/>
  <c r="D27" i="15"/>
  <c r="E27" i="15"/>
  <c r="F27" i="15"/>
  <c r="G27" i="15"/>
  <c r="H27" i="15"/>
  <c r="C28" i="15"/>
  <c r="D28" i="15"/>
  <c r="E28" i="15"/>
  <c r="F28" i="15"/>
  <c r="G28" i="15"/>
  <c r="H28" i="15"/>
  <c r="C29" i="15"/>
  <c r="D29" i="15"/>
  <c r="E29" i="15"/>
  <c r="F29" i="15"/>
  <c r="G29" i="15"/>
  <c r="H29" i="15"/>
  <c r="C30" i="15"/>
  <c r="D30" i="15"/>
  <c r="E30" i="15"/>
  <c r="F30" i="15"/>
  <c r="G30" i="15"/>
  <c r="H30" i="15"/>
  <c r="C31" i="15"/>
  <c r="D31" i="15"/>
  <c r="E31" i="15"/>
  <c r="F31" i="15"/>
  <c r="G31" i="15"/>
  <c r="H31" i="15"/>
  <c r="C32" i="15"/>
  <c r="D32" i="15"/>
  <c r="E32" i="15"/>
  <c r="F32" i="15"/>
  <c r="G32" i="15"/>
  <c r="H32" i="15"/>
  <c r="G34" i="15"/>
  <c r="C35" i="15"/>
  <c r="D35" i="15"/>
  <c r="E35" i="15"/>
  <c r="F35" i="15"/>
  <c r="G35" i="15"/>
  <c r="H35" i="15"/>
  <c r="C36" i="15"/>
  <c r="D36" i="15"/>
  <c r="E36" i="15"/>
  <c r="F36" i="15"/>
  <c r="G36" i="15"/>
  <c r="H36" i="15"/>
  <c r="C37" i="15"/>
  <c r="D37" i="15"/>
  <c r="E37" i="15"/>
  <c r="F37" i="15"/>
  <c r="G37" i="15"/>
  <c r="H37" i="15"/>
  <c r="C38" i="15"/>
  <c r="D38" i="15"/>
  <c r="E38" i="15"/>
  <c r="F38" i="15"/>
  <c r="G38" i="15"/>
  <c r="H38" i="15"/>
  <c r="C39" i="15"/>
  <c r="D39" i="15"/>
  <c r="E39" i="15"/>
  <c r="F39" i="15"/>
  <c r="G39" i="15"/>
  <c r="H39" i="15"/>
  <c r="D40" i="15"/>
  <c r="E40" i="15"/>
  <c r="F40" i="15"/>
  <c r="G40" i="15"/>
  <c r="C43" i="15"/>
  <c r="D43" i="15"/>
  <c r="E43" i="15"/>
  <c r="F43" i="15"/>
  <c r="G43" i="15"/>
  <c r="H43" i="15"/>
  <c r="C44" i="15"/>
  <c r="D44" i="15"/>
  <c r="E44" i="15"/>
  <c r="F44" i="15"/>
  <c r="G44" i="15"/>
  <c r="H44" i="15"/>
  <c r="D433" i="7"/>
  <c r="D363" i="7"/>
  <c r="D293" i="7"/>
  <c r="D222" i="7"/>
  <c r="D153" i="7"/>
  <c r="D84" i="7"/>
  <c r="D15" i="7"/>
  <c r="C74" i="12" l="1"/>
  <c r="C75" i="12" s="1"/>
  <c r="D74" i="12" s="1"/>
  <c r="D75" i="12" s="1"/>
  <c r="E74" i="12" s="1"/>
  <c r="E75" i="12" s="1"/>
  <c r="F74" i="12" s="1"/>
  <c r="F75" i="12" s="1"/>
  <c r="B239" i="7"/>
  <c r="B170" i="7"/>
  <c r="F113" i="7"/>
  <c r="D113" i="7"/>
  <c r="C113" i="7"/>
  <c r="B101" i="7"/>
  <c r="D44" i="7"/>
  <c r="C44" i="7"/>
  <c r="B32" i="7"/>
  <c r="E24" i="11"/>
  <c r="E26" i="15" s="1"/>
  <c r="I58" i="10"/>
  <c r="L57" i="10"/>
  <c r="M57" i="10" s="1"/>
  <c r="K57" i="10"/>
  <c r="J57" i="10"/>
  <c r="I57" i="10"/>
  <c r="L54" i="10"/>
  <c r="M54" i="10" s="1"/>
  <c r="M60" i="10" s="1"/>
  <c r="K54" i="10"/>
  <c r="J54" i="10"/>
  <c r="I54" i="10"/>
  <c r="L53" i="10"/>
  <c r="K53" i="10"/>
  <c r="K60" i="10" s="1"/>
  <c r="J53" i="10"/>
  <c r="I53" i="10"/>
  <c r="F32" i="10"/>
  <c r="F31" i="16" s="1"/>
  <c r="E31" i="16"/>
  <c r="D32" i="10"/>
  <c r="D31" i="16" s="1"/>
  <c r="C31" i="16"/>
  <c r="C46" i="10"/>
  <c r="C48" i="10" s="1"/>
  <c r="G34" i="16"/>
  <c r="G30" i="16"/>
  <c r="G29" i="10"/>
  <c r="G28" i="16" s="1"/>
  <c r="F23" i="10"/>
  <c r="E23" i="10"/>
  <c r="E23" i="16" s="1"/>
  <c r="D23" i="10"/>
  <c r="D23" i="16" s="1"/>
  <c r="C23" i="16"/>
  <c r="F26" i="15" l="1"/>
  <c r="J60" i="10"/>
  <c r="L60" i="10"/>
  <c r="G23" i="10"/>
  <c r="G23" i="16" s="1"/>
  <c r="F23" i="16"/>
  <c r="C42" i="16"/>
  <c r="G32" i="10"/>
  <c r="G31" i="16" s="1"/>
  <c r="G18" i="16"/>
  <c r="D26" i="16"/>
  <c r="X20" i="6"/>
  <c r="C37" i="16" l="1"/>
  <c r="C22" i="16"/>
  <c r="I52" i="10"/>
  <c r="I55" i="10" s="1"/>
  <c r="E26" i="16"/>
  <c r="C318" i="7"/>
  <c r="C327" i="7" s="1"/>
  <c r="C564" i="7"/>
  <c r="B564" i="7"/>
  <c r="F561" i="7"/>
  <c r="E561" i="7"/>
  <c r="D561" i="7"/>
  <c r="C561" i="7"/>
  <c r="B561" i="7"/>
  <c r="B559" i="7"/>
  <c r="B557" i="7"/>
  <c r="C555" i="7"/>
  <c r="B555" i="7"/>
  <c r="B554" i="7"/>
  <c r="B553" i="7"/>
  <c r="D552" i="7"/>
  <c r="D564" i="7" s="1"/>
  <c r="D546" i="7"/>
  <c r="E546" i="7" s="1"/>
  <c r="E555" i="7" s="1"/>
  <c r="A540" i="7"/>
  <c r="B534" i="7"/>
  <c r="B548" i="7" s="1"/>
  <c r="B556" i="7" s="1"/>
  <c r="C531" i="7"/>
  <c r="D531" i="7" s="1"/>
  <c r="C530" i="7"/>
  <c r="C536" i="7" s="1"/>
  <c r="C528" i="7"/>
  <c r="D528" i="7" s="1"/>
  <c r="B527" i="7"/>
  <c r="C527" i="7" s="1"/>
  <c r="D527" i="7" s="1"/>
  <c r="E527" i="7" s="1"/>
  <c r="F527" i="7" s="1"/>
  <c r="G527" i="7" s="1"/>
  <c r="H527" i="7" s="1"/>
  <c r="I527" i="7" s="1"/>
  <c r="J527" i="7" s="1"/>
  <c r="K527" i="7" s="1"/>
  <c r="L527" i="7" s="1"/>
  <c r="M527" i="7" s="1"/>
  <c r="N527" i="7" s="1"/>
  <c r="O527" i="7" s="1"/>
  <c r="P527" i="7" s="1"/>
  <c r="Q527" i="7" s="1"/>
  <c r="R527" i="7" s="1"/>
  <c r="S527" i="7" s="1"/>
  <c r="T527" i="7" s="1"/>
  <c r="U527" i="7" s="1"/>
  <c r="V527" i="7" s="1"/>
  <c r="W527" i="7" s="1"/>
  <c r="X527" i="7" s="1"/>
  <c r="Y527" i="7" s="1"/>
  <c r="Z527" i="7" s="1"/>
  <c r="AA527" i="7" s="1"/>
  <c r="D525" i="7"/>
  <c r="B503" i="7"/>
  <c r="D544" i="7" s="1"/>
  <c r="C494" i="7"/>
  <c r="B494" i="7"/>
  <c r="F491" i="7"/>
  <c r="E491" i="7"/>
  <c r="D491" i="7"/>
  <c r="C491" i="7"/>
  <c r="B491" i="7"/>
  <c r="B489" i="7"/>
  <c r="B487" i="7"/>
  <c r="B485" i="7"/>
  <c r="B484" i="7"/>
  <c r="B483" i="7"/>
  <c r="D482" i="7"/>
  <c r="D476" i="7"/>
  <c r="E476" i="7" s="1"/>
  <c r="E485" i="7" s="1"/>
  <c r="C485" i="7"/>
  <c r="A470" i="7"/>
  <c r="B464" i="7"/>
  <c r="B478" i="7" s="1"/>
  <c r="B486" i="7" s="1"/>
  <c r="C461" i="7"/>
  <c r="C460" i="7"/>
  <c r="C466" i="7" s="1"/>
  <c r="C483" i="7" s="1"/>
  <c r="D483" i="7" s="1"/>
  <c r="E483" i="7" s="1"/>
  <c r="F483" i="7" s="1"/>
  <c r="G483" i="7" s="1"/>
  <c r="H483" i="7" s="1"/>
  <c r="I483" i="7" s="1"/>
  <c r="J483" i="7" s="1"/>
  <c r="K483" i="7" s="1"/>
  <c r="L483" i="7" s="1"/>
  <c r="M483" i="7" s="1"/>
  <c r="N483" i="7" s="1"/>
  <c r="O483" i="7" s="1"/>
  <c r="P483" i="7" s="1"/>
  <c r="Q483" i="7" s="1"/>
  <c r="R483" i="7" s="1"/>
  <c r="S483" i="7" s="1"/>
  <c r="T483" i="7" s="1"/>
  <c r="U483" i="7" s="1"/>
  <c r="V483" i="7" s="1"/>
  <c r="W483" i="7" s="1"/>
  <c r="X483" i="7" s="1"/>
  <c r="Y483" i="7" s="1"/>
  <c r="Z483" i="7" s="1"/>
  <c r="AA483" i="7" s="1"/>
  <c r="B457" i="7"/>
  <c r="C457" i="7" s="1"/>
  <c r="D457" i="7" s="1"/>
  <c r="E457" i="7" s="1"/>
  <c r="F457" i="7" s="1"/>
  <c r="G457" i="7" s="1"/>
  <c r="H457" i="7" s="1"/>
  <c r="I457" i="7" s="1"/>
  <c r="J457" i="7" s="1"/>
  <c r="K457" i="7" s="1"/>
  <c r="L457" i="7" s="1"/>
  <c r="M457" i="7" s="1"/>
  <c r="N457" i="7" s="1"/>
  <c r="O457" i="7" s="1"/>
  <c r="P457" i="7" s="1"/>
  <c r="Q457" i="7" s="1"/>
  <c r="R457" i="7" s="1"/>
  <c r="S457" i="7" s="1"/>
  <c r="T457" i="7" s="1"/>
  <c r="U457" i="7" s="1"/>
  <c r="V457" i="7" s="1"/>
  <c r="W457" i="7" s="1"/>
  <c r="X457" i="7" s="1"/>
  <c r="Y457" i="7" s="1"/>
  <c r="Z457" i="7" s="1"/>
  <c r="AA457" i="7" s="1"/>
  <c r="D455" i="7"/>
  <c r="B433" i="7"/>
  <c r="E474" i="7" s="1"/>
  <c r="C406" i="7"/>
  <c r="D406" i="7" s="1"/>
  <c r="E406" i="7" s="1"/>
  <c r="B363" i="7"/>
  <c r="C354" i="7"/>
  <c r="B354" i="7"/>
  <c r="F351" i="7"/>
  <c r="E351" i="7"/>
  <c r="D351" i="7"/>
  <c r="C351" i="7"/>
  <c r="B351" i="7"/>
  <c r="B349" i="7"/>
  <c r="B347" i="7"/>
  <c r="B345" i="7"/>
  <c r="B344" i="7"/>
  <c r="B343" i="7"/>
  <c r="D342" i="7"/>
  <c r="D354" i="7" s="1"/>
  <c r="C336" i="7"/>
  <c r="D336" i="7" s="1"/>
  <c r="D334" i="7" s="1"/>
  <c r="A330" i="7"/>
  <c r="B324" i="7"/>
  <c r="B338" i="7" s="1"/>
  <c r="B346" i="7" s="1"/>
  <c r="C321" i="7"/>
  <c r="C324" i="7" s="1"/>
  <c r="C338" i="7" s="1"/>
  <c r="C346" i="7" s="1"/>
  <c r="C320" i="7"/>
  <c r="C326" i="7" s="1"/>
  <c r="B317" i="7"/>
  <c r="C317" i="7" s="1"/>
  <c r="D317" i="7" s="1"/>
  <c r="E317" i="7" s="1"/>
  <c r="F317" i="7" s="1"/>
  <c r="G317" i="7" s="1"/>
  <c r="H317" i="7" s="1"/>
  <c r="I317" i="7" s="1"/>
  <c r="J317" i="7" s="1"/>
  <c r="K317" i="7" s="1"/>
  <c r="L317" i="7" s="1"/>
  <c r="M317" i="7" s="1"/>
  <c r="N317" i="7" s="1"/>
  <c r="O317" i="7" s="1"/>
  <c r="P317" i="7" s="1"/>
  <c r="Q317" i="7" s="1"/>
  <c r="R317" i="7" s="1"/>
  <c r="S317" i="7" s="1"/>
  <c r="T317" i="7" s="1"/>
  <c r="U317" i="7" s="1"/>
  <c r="V317" i="7" s="1"/>
  <c r="W317" i="7" s="1"/>
  <c r="X317" i="7" s="1"/>
  <c r="Y317" i="7" s="1"/>
  <c r="Z317" i="7" s="1"/>
  <c r="AA317" i="7" s="1"/>
  <c r="D315" i="7"/>
  <c r="E315" i="7" s="1"/>
  <c r="F315" i="7" s="1"/>
  <c r="B293" i="7"/>
  <c r="C265" i="7"/>
  <c r="D265" i="7" s="1"/>
  <c r="C633" i="7"/>
  <c r="B633" i="7"/>
  <c r="F630" i="7"/>
  <c r="E630" i="7"/>
  <c r="D630" i="7"/>
  <c r="C630" i="7"/>
  <c r="B630" i="7"/>
  <c r="B628" i="7"/>
  <c r="B626" i="7"/>
  <c r="B624" i="7"/>
  <c r="B623" i="7"/>
  <c r="B622" i="7"/>
  <c r="D621" i="7"/>
  <c r="D633" i="7" s="1"/>
  <c r="A609" i="7"/>
  <c r="B603" i="7"/>
  <c r="B617" i="7" s="1"/>
  <c r="B625" i="7" s="1"/>
  <c r="C600" i="7"/>
  <c r="C603" i="7" s="1"/>
  <c r="C617" i="7" s="1"/>
  <c r="C625" i="7" s="1"/>
  <c r="C599" i="7"/>
  <c r="C605" i="7" s="1"/>
  <c r="B596" i="7"/>
  <c r="C596" i="7" s="1"/>
  <c r="D596" i="7" s="1"/>
  <c r="E596" i="7" s="1"/>
  <c r="F596" i="7" s="1"/>
  <c r="G596" i="7" s="1"/>
  <c r="H596" i="7" s="1"/>
  <c r="I596" i="7" s="1"/>
  <c r="J596" i="7" s="1"/>
  <c r="K596" i="7" s="1"/>
  <c r="L596" i="7" s="1"/>
  <c r="M596" i="7" s="1"/>
  <c r="N596" i="7" s="1"/>
  <c r="O596" i="7" s="1"/>
  <c r="P596" i="7" s="1"/>
  <c r="Q596" i="7" s="1"/>
  <c r="R596" i="7" s="1"/>
  <c r="S596" i="7" s="1"/>
  <c r="T596" i="7" s="1"/>
  <c r="U596" i="7" s="1"/>
  <c r="V596" i="7" s="1"/>
  <c r="W596" i="7" s="1"/>
  <c r="X596" i="7" s="1"/>
  <c r="Y596" i="7" s="1"/>
  <c r="Z596" i="7" s="1"/>
  <c r="AA596" i="7" s="1"/>
  <c r="D594" i="7"/>
  <c r="E594" i="7" s="1"/>
  <c r="F594" i="7" s="1"/>
  <c r="B572" i="7"/>
  <c r="C597" i="7" s="1"/>
  <c r="C424" i="7"/>
  <c r="B424" i="7"/>
  <c r="F421" i="7"/>
  <c r="E421" i="7"/>
  <c r="D421" i="7"/>
  <c r="C421" i="7"/>
  <c r="B421" i="7"/>
  <c r="B419" i="7"/>
  <c r="B417" i="7"/>
  <c r="B415" i="7"/>
  <c r="B414" i="7"/>
  <c r="B413" i="7"/>
  <c r="D412" i="7"/>
  <c r="D424" i="7" s="1"/>
  <c r="A400" i="7"/>
  <c r="B394" i="7"/>
  <c r="B408" i="7" s="1"/>
  <c r="B416" i="7" s="1"/>
  <c r="C391" i="7"/>
  <c r="C394" i="7" s="1"/>
  <c r="C408" i="7" s="1"/>
  <c r="C416" i="7" s="1"/>
  <c r="C390" i="7"/>
  <c r="C396" i="7" s="1"/>
  <c r="B387" i="7"/>
  <c r="C387" i="7" s="1"/>
  <c r="D387" i="7" s="1"/>
  <c r="E387" i="7" s="1"/>
  <c r="F387" i="7" s="1"/>
  <c r="G387" i="7" s="1"/>
  <c r="H387" i="7" s="1"/>
  <c r="I387" i="7" s="1"/>
  <c r="J387" i="7" s="1"/>
  <c r="K387" i="7" s="1"/>
  <c r="L387" i="7" s="1"/>
  <c r="M387" i="7" s="1"/>
  <c r="N387" i="7" s="1"/>
  <c r="O387" i="7" s="1"/>
  <c r="P387" i="7" s="1"/>
  <c r="Q387" i="7" s="1"/>
  <c r="R387" i="7" s="1"/>
  <c r="S387" i="7" s="1"/>
  <c r="T387" i="7" s="1"/>
  <c r="U387" i="7" s="1"/>
  <c r="V387" i="7" s="1"/>
  <c r="W387" i="7" s="1"/>
  <c r="X387" i="7" s="1"/>
  <c r="Y387" i="7" s="1"/>
  <c r="Z387" i="7" s="1"/>
  <c r="AA387" i="7" s="1"/>
  <c r="D385" i="7"/>
  <c r="E385" i="7" s="1"/>
  <c r="E127" i="7"/>
  <c r="F127" i="7"/>
  <c r="C125" i="7"/>
  <c r="D127" i="7"/>
  <c r="C127" i="7"/>
  <c r="C56" i="7"/>
  <c r="E58" i="7"/>
  <c r="D58" i="7"/>
  <c r="C58" i="7"/>
  <c r="B222" i="7"/>
  <c r="C263" i="7" s="1"/>
  <c r="C283" i="7"/>
  <c r="B283" i="7"/>
  <c r="F280" i="7"/>
  <c r="E280" i="7"/>
  <c r="D280" i="7"/>
  <c r="C280" i="7"/>
  <c r="B280" i="7"/>
  <c r="B278" i="7"/>
  <c r="B276" i="7"/>
  <c r="B274" i="7"/>
  <c r="B273" i="7"/>
  <c r="B272" i="7"/>
  <c r="D271" i="7"/>
  <c r="D283" i="7" s="1"/>
  <c r="A259" i="7"/>
  <c r="B253" i="7"/>
  <c r="B267" i="7" s="1"/>
  <c r="B275" i="7" s="1"/>
  <c r="C250" i="7"/>
  <c r="C253" i="7" s="1"/>
  <c r="C267" i="7" s="1"/>
  <c r="C275" i="7" s="1"/>
  <c r="C249" i="7"/>
  <c r="B246" i="7"/>
  <c r="C246" i="7" s="1"/>
  <c r="D246" i="7" s="1"/>
  <c r="E246" i="7" s="1"/>
  <c r="F246" i="7" s="1"/>
  <c r="G246" i="7" s="1"/>
  <c r="H246" i="7" s="1"/>
  <c r="I246" i="7" s="1"/>
  <c r="J246" i="7" s="1"/>
  <c r="K246" i="7" s="1"/>
  <c r="L246" i="7" s="1"/>
  <c r="M246" i="7" s="1"/>
  <c r="N246" i="7" s="1"/>
  <c r="O246" i="7" s="1"/>
  <c r="P246" i="7" s="1"/>
  <c r="Q246" i="7" s="1"/>
  <c r="R246" i="7" s="1"/>
  <c r="S246" i="7" s="1"/>
  <c r="T246" i="7" s="1"/>
  <c r="U246" i="7" s="1"/>
  <c r="V246" i="7" s="1"/>
  <c r="W246" i="7" s="1"/>
  <c r="X246" i="7" s="1"/>
  <c r="Y246" i="7" s="1"/>
  <c r="Z246" i="7" s="1"/>
  <c r="AA246" i="7" s="1"/>
  <c r="D244" i="7"/>
  <c r="E244" i="7" s="1"/>
  <c r="B153" i="7"/>
  <c r="C178" i="7" s="1"/>
  <c r="D178" i="7" s="1"/>
  <c r="C214" i="7"/>
  <c r="B214" i="7"/>
  <c r="B211" i="7"/>
  <c r="B209" i="7"/>
  <c r="B207" i="7"/>
  <c r="B205" i="7"/>
  <c r="B204" i="7"/>
  <c r="B203" i="7"/>
  <c r="D202" i="7"/>
  <c r="D214" i="7" s="1"/>
  <c r="A190" i="7"/>
  <c r="B184" i="7"/>
  <c r="B198" i="7" s="1"/>
  <c r="B206" i="7" s="1"/>
  <c r="F211" i="7"/>
  <c r="E211" i="7"/>
  <c r="D211" i="7"/>
  <c r="C211" i="7"/>
  <c r="C181" i="7"/>
  <c r="C184" i="7" s="1"/>
  <c r="C198" i="7" s="1"/>
  <c r="C206" i="7" s="1"/>
  <c r="C180" i="7"/>
  <c r="D180" i="7" s="1"/>
  <c r="E180" i="7" s="1"/>
  <c r="F180" i="7" s="1"/>
  <c r="G180" i="7" s="1"/>
  <c r="H180" i="7" s="1"/>
  <c r="I180" i="7" s="1"/>
  <c r="J180" i="7" s="1"/>
  <c r="K180" i="7" s="1"/>
  <c r="L180" i="7" s="1"/>
  <c r="M180" i="7" s="1"/>
  <c r="N180" i="7" s="1"/>
  <c r="O180" i="7" s="1"/>
  <c r="P180" i="7" s="1"/>
  <c r="Q180" i="7" s="1"/>
  <c r="R180" i="7" s="1"/>
  <c r="S180" i="7" s="1"/>
  <c r="T180" i="7" s="1"/>
  <c r="U180" i="7" s="1"/>
  <c r="V180" i="7" s="1"/>
  <c r="W180" i="7" s="1"/>
  <c r="X180" i="7" s="1"/>
  <c r="Y180" i="7" s="1"/>
  <c r="Z180" i="7" s="1"/>
  <c r="AA180" i="7" s="1"/>
  <c r="B177" i="7"/>
  <c r="C177" i="7" s="1"/>
  <c r="D177" i="7" s="1"/>
  <c r="E177" i="7" s="1"/>
  <c r="F177" i="7" s="1"/>
  <c r="G177" i="7" s="1"/>
  <c r="H177" i="7" s="1"/>
  <c r="I177" i="7" s="1"/>
  <c r="J177" i="7" s="1"/>
  <c r="K177" i="7" s="1"/>
  <c r="L177" i="7" s="1"/>
  <c r="M177" i="7" s="1"/>
  <c r="N177" i="7" s="1"/>
  <c r="O177" i="7" s="1"/>
  <c r="P177" i="7" s="1"/>
  <c r="Q177" i="7" s="1"/>
  <c r="R177" i="7" s="1"/>
  <c r="S177" i="7" s="1"/>
  <c r="T177" i="7" s="1"/>
  <c r="U177" i="7" s="1"/>
  <c r="V177" i="7" s="1"/>
  <c r="W177" i="7" s="1"/>
  <c r="X177" i="7" s="1"/>
  <c r="Y177" i="7" s="1"/>
  <c r="Z177" i="7" s="1"/>
  <c r="AA177" i="7" s="1"/>
  <c r="D175" i="7"/>
  <c r="F142" i="7"/>
  <c r="E142" i="7"/>
  <c r="D142" i="7"/>
  <c r="B84" i="7"/>
  <c r="C109" i="7" s="1"/>
  <c r="C118" i="7" s="1"/>
  <c r="C145" i="7"/>
  <c r="B145" i="7"/>
  <c r="B142" i="7"/>
  <c r="B140" i="7"/>
  <c r="B138" i="7"/>
  <c r="B136" i="7"/>
  <c r="B135" i="7"/>
  <c r="B134" i="7"/>
  <c r="D133" i="7"/>
  <c r="D145" i="7" s="1"/>
  <c r="A121" i="7"/>
  <c r="B115" i="7"/>
  <c r="B129" i="7" s="1"/>
  <c r="B137" i="7" s="1"/>
  <c r="C112" i="7"/>
  <c r="C115" i="7" s="1"/>
  <c r="C129" i="7" s="1"/>
  <c r="C137" i="7" s="1"/>
  <c r="C111" i="7"/>
  <c r="B108" i="7"/>
  <c r="C108" i="7" s="1"/>
  <c r="D108" i="7" s="1"/>
  <c r="E108" i="7" s="1"/>
  <c r="F108" i="7" s="1"/>
  <c r="G108" i="7" s="1"/>
  <c r="H108" i="7" s="1"/>
  <c r="I108" i="7" s="1"/>
  <c r="J108" i="7" s="1"/>
  <c r="K108" i="7" s="1"/>
  <c r="L108" i="7" s="1"/>
  <c r="M108" i="7" s="1"/>
  <c r="N108" i="7" s="1"/>
  <c r="O108" i="7" s="1"/>
  <c r="P108" i="7" s="1"/>
  <c r="Q108" i="7" s="1"/>
  <c r="R108" i="7" s="1"/>
  <c r="S108" i="7" s="1"/>
  <c r="T108" i="7" s="1"/>
  <c r="U108" i="7" s="1"/>
  <c r="V108" i="7" s="1"/>
  <c r="W108" i="7" s="1"/>
  <c r="X108" i="7" s="1"/>
  <c r="Y108" i="7" s="1"/>
  <c r="Z108" i="7" s="1"/>
  <c r="AA108" i="7" s="1"/>
  <c r="D106" i="7"/>
  <c r="E106" i="7" s="1"/>
  <c r="C67" i="7"/>
  <c r="E44" i="7"/>
  <c r="B19" i="7"/>
  <c r="B15" i="7"/>
  <c r="C40" i="7" s="1"/>
  <c r="D40" i="7" s="1"/>
  <c r="D56" i="7" l="1"/>
  <c r="E125" i="7"/>
  <c r="E342" i="7"/>
  <c r="E354" i="7" s="1"/>
  <c r="E265" i="7"/>
  <c r="E263" i="7" s="1"/>
  <c r="D263" i="7"/>
  <c r="B22" i="7"/>
  <c r="E56" i="7"/>
  <c r="B437" i="7"/>
  <c r="C469" i="7" s="1"/>
  <c r="D474" i="7"/>
  <c r="B33" i="7"/>
  <c r="B35" i="7" s="1"/>
  <c r="B36" i="7" s="1"/>
  <c r="C186" i="7"/>
  <c r="C203" i="7" s="1"/>
  <c r="D203" i="7" s="1"/>
  <c r="E203" i="7" s="1"/>
  <c r="F203" i="7" s="1"/>
  <c r="G203" i="7" s="1"/>
  <c r="H203" i="7" s="1"/>
  <c r="I203" i="7" s="1"/>
  <c r="J203" i="7" s="1"/>
  <c r="K203" i="7" s="1"/>
  <c r="L203" i="7" s="1"/>
  <c r="M203" i="7" s="1"/>
  <c r="N203" i="7" s="1"/>
  <c r="O203" i="7" s="1"/>
  <c r="P203" i="7" s="1"/>
  <c r="Q203" i="7" s="1"/>
  <c r="R203" i="7" s="1"/>
  <c r="S203" i="7" s="1"/>
  <c r="T203" i="7" s="1"/>
  <c r="U203" i="7" s="1"/>
  <c r="V203" i="7" s="1"/>
  <c r="W203" i="7" s="1"/>
  <c r="X203" i="7" s="1"/>
  <c r="Y203" i="7" s="1"/>
  <c r="Z203" i="7" s="1"/>
  <c r="AA203" i="7" s="1"/>
  <c r="D250" i="7"/>
  <c r="D253" i="7" s="1"/>
  <c r="D267" i="7" s="1"/>
  <c r="D275" i="7" s="1"/>
  <c r="B440" i="7"/>
  <c r="E458" i="7"/>
  <c r="F458" i="7" s="1"/>
  <c r="D125" i="7"/>
  <c r="C458" i="7"/>
  <c r="D458" i="7" s="1"/>
  <c r="C474" i="7"/>
  <c r="D391" i="7"/>
  <c r="D394" i="7" s="1"/>
  <c r="D408" i="7" s="1"/>
  <c r="D416" i="7" s="1"/>
  <c r="F265" i="7"/>
  <c r="D321" i="7"/>
  <c r="C470" i="7"/>
  <c r="D460" i="7"/>
  <c r="E460" i="7" s="1"/>
  <c r="F460" i="7" s="1"/>
  <c r="G460" i="7" s="1"/>
  <c r="H460" i="7" s="1"/>
  <c r="I460" i="7" s="1"/>
  <c r="J460" i="7" s="1"/>
  <c r="K460" i="7" s="1"/>
  <c r="L460" i="7" s="1"/>
  <c r="M460" i="7" s="1"/>
  <c r="N460" i="7" s="1"/>
  <c r="O460" i="7" s="1"/>
  <c r="P460" i="7" s="1"/>
  <c r="Q460" i="7" s="1"/>
  <c r="R460" i="7" s="1"/>
  <c r="S460" i="7" s="1"/>
  <c r="T460" i="7" s="1"/>
  <c r="U460" i="7" s="1"/>
  <c r="V460" i="7" s="1"/>
  <c r="W460" i="7" s="1"/>
  <c r="X460" i="7" s="1"/>
  <c r="Y460" i="7" s="1"/>
  <c r="Z460" i="7" s="1"/>
  <c r="AA460" i="7" s="1"/>
  <c r="D600" i="7"/>
  <c r="D603" i="7" s="1"/>
  <c r="D617" i="7" s="1"/>
  <c r="D625" i="7" s="1"/>
  <c r="C196" i="7"/>
  <c r="C194" i="7" s="1"/>
  <c r="B160" i="7"/>
  <c r="C190" i="7" s="1"/>
  <c r="F125" i="7"/>
  <c r="D196" i="7"/>
  <c r="E202" i="7"/>
  <c r="E214" i="7" s="1"/>
  <c r="C404" i="7"/>
  <c r="D404" i="7"/>
  <c r="D320" i="7"/>
  <c r="E320" i="7" s="1"/>
  <c r="F320" i="7" s="1"/>
  <c r="G320" i="7" s="1"/>
  <c r="H320" i="7" s="1"/>
  <c r="I320" i="7" s="1"/>
  <c r="J320" i="7" s="1"/>
  <c r="K320" i="7" s="1"/>
  <c r="L320" i="7" s="1"/>
  <c r="M320" i="7" s="1"/>
  <c r="N320" i="7" s="1"/>
  <c r="O320" i="7" s="1"/>
  <c r="P320" i="7" s="1"/>
  <c r="Q320" i="7" s="1"/>
  <c r="R320" i="7" s="1"/>
  <c r="S320" i="7" s="1"/>
  <c r="T320" i="7" s="1"/>
  <c r="U320" i="7" s="1"/>
  <c r="V320" i="7" s="1"/>
  <c r="W320" i="7" s="1"/>
  <c r="X320" i="7" s="1"/>
  <c r="Y320" i="7" s="1"/>
  <c r="Z320" i="7" s="1"/>
  <c r="AA320" i="7" s="1"/>
  <c r="E404" i="7"/>
  <c r="E271" i="7"/>
  <c r="C46" i="16"/>
  <c r="G26" i="16"/>
  <c r="F26" i="16"/>
  <c r="E600" i="7"/>
  <c r="E603" i="7" s="1"/>
  <c r="E617" i="7" s="1"/>
  <c r="E625" i="7" s="1"/>
  <c r="E621" i="7"/>
  <c r="F621" i="7" s="1"/>
  <c r="C534" i="7"/>
  <c r="C548" i="7" s="1"/>
  <c r="C556" i="7" s="1"/>
  <c r="E531" i="7"/>
  <c r="D534" i="7"/>
  <c r="D548" i="7" s="1"/>
  <c r="D556" i="7" s="1"/>
  <c r="D537" i="7"/>
  <c r="E528" i="7"/>
  <c r="C553" i="7"/>
  <c r="D553" i="7" s="1"/>
  <c r="E553" i="7" s="1"/>
  <c r="F553" i="7" s="1"/>
  <c r="G553" i="7" s="1"/>
  <c r="H553" i="7" s="1"/>
  <c r="I553" i="7" s="1"/>
  <c r="J553" i="7" s="1"/>
  <c r="K553" i="7" s="1"/>
  <c r="L553" i="7" s="1"/>
  <c r="M553" i="7" s="1"/>
  <c r="N553" i="7" s="1"/>
  <c r="O553" i="7" s="1"/>
  <c r="P553" i="7" s="1"/>
  <c r="Q553" i="7" s="1"/>
  <c r="R553" i="7" s="1"/>
  <c r="S553" i="7" s="1"/>
  <c r="T553" i="7" s="1"/>
  <c r="U553" i="7" s="1"/>
  <c r="V553" i="7" s="1"/>
  <c r="W553" i="7" s="1"/>
  <c r="X553" i="7" s="1"/>
  <c r="Y553" i="7" s="1"/>
  <c r="Z553" i="7" s="1"/>
  <c r="AA553" i="7" s="1"/>
  <c r="D536" i="7"/>
  <c r="E536" i="7" s="1"/>
  <c r="F536" i="7" s="1"/>
  <c r="G536" i="7" s="1"/>
  <c r="H536" i="7" s="1"/>
  <c r="I536" i="7" s="1"/>
  <c r="J536" i="7" s="1"/>
  <c r="K536" i="7" s="1"/>
  <c r="L536" i="7" s="1"/>
  <c r="M536" i="7" s="1"/>
  <c r="N536" i="7" s="1"/>
  <c r="O536" i="7" s="1"/>
  <c r="P536" i="7" s="1"/>
  <c r="Q536" i="7" s="1"/>
  <c r="R536" i="7" s="1"/>
  <c r="S536" i="7" s="1"/>
  <c r="T536" i="7" s="1"/>
  <c r="U536" i="7" s="1"/>
  <c r="V536" i="7" s="1"/>
  <c r="W536" i="7" s="1"/>
  <c r="X536" i="7" s="1"/>
  <c r="Y536" i="7" s="1"/>
  <c r="Z536" i="7" s="1"/>
  <c r="AA536" i="7" s="1"/>
  <c r="B507" i="7"/>
  <c r="C539" i="7" s="1"/>
  <c r="B510" i="7"/>
  <c r="C540" i="7" s="1"/>
  <c r="D530" i="7"/>
  <c r="E530" i="7" s="1"/>
  <c r="F530" i="7" s="1"/>
  <c r="G530" i="7" s="1"/>
  <c r="H530" i="7" s="1"/>
  <c r="I530" i="7" s="1"/>
  <c r="J530" i="7" s="1"/>
  <c r="K530" i="7" s="1"/>
  <c r="L530" i="7" s="1"/>
  <c r="M530" i="7" s="1"/>
  <c r="N530" i="7" s="1"/>
  <c r="O530" i="7" s="1"/>
  <c r="P530" i="7" s="1"/>
  <c r="Q530" i="7" s="1"/>
  <c r="R530" i="7" s="1"/>
  <c r="S530" i="7" s="1"/>
  <c r="T530" i="7" s="1"/>
  <c r="U530" i="7" s="1"/>
  <c r="V530" i="7" s="1"/>
  <c r="W530" i="7" s="1"/>
  <c r="X530" i="7" s="1"/>
  <c r="Y530" i="7" s="1"/>
  <c r="Z530" i="7" s="1"/>
  <c r="AA530" i="7" s="1"/>
  <c r="D539" i="7"/>
  <c r="F546" i="7"/>
  <c r="G546" i="7" s="1"/>
  <c r="G555" i="7" s="1"/>
  <c r="B560" i="7"/>
  <c r="B558" i="7" s="1"/>
  <c r="B562" i="7" s="1"/>
  <c r="E544" i="7"/>
  <c r="B521" i="7"/>
  <c r="B523" i="7" s="1"/>
  <c r="B524" i="7" s="1"/>
  <c r="E525" i="7"/>
  <c r="C537" i="7"/>
  <c r="C544" i="7"/>
  <c r="E552" i="7"/>
  <c r="D555" i="7"/>
  <c r="C467" i="7"/>
  <c r="D461" i="7"/>
  <c r="C464" i="7"/>
  <c r="C478" i="7" s="1"/>
  <c r="C486" i="7" s="1"/>
  <c r="C468" i="7"/>
  <c r="D470" i="7"/>
  <c r="E455" i="7"/>
  <c r="D469" i="7"/>
  <c r="D468" i="7" s="1"/>
  <c r="D494" i="7"/>
  <c r="E482" i="7"/>
  <c r="B490" i="7"/>
  <c r="B488" i="7" s="1"/>
  <c r="B492" i="7" s="1"/>
  <c r="B451" i="7"/>
  <c r="B453" i="7" s="1"/>
  <c r="B454" i="7" s="1"/>
  <c r="D466" i="7"/>
  <c r="E466" i="7" s="1"/>
  <c r="F466" i="7" s="1"/>
  <c r="G466" i="7" s="1"/>
  <c r="H466" i="7" s="1"/>
  <c r="I466" i="7" s="1"/>
  <c r="J466" i="7" s="1"/>
  <c r="K466" i="7" s="1"/>
  <c r="L466" i="7" s="1"/>
  <c r="M466" i="7" s="1"/>
  <c r="N466" i="7" s="1"/>
  <c r="O466" i="7" s="1"/>
  <c r="P466" i="7" s="1"/>
  <c r="Q466" i="7" s="1"/>
  <c r="R466" i="7" s="1"/>
  <c r="S466" i="7" s="1"/>
  <c r="T466" i="7" s="1"/>
  <c r="U466" i="7" s="1"/>
  <c r="V466" i="7" s="1"/>
  <c r="W466" i="7" s="1"/>
  <c r="X466" i="7" s="1"/>
  <c r="Y466" i="7" s="1"/>
  <c r="Z466" i="7" s="1"/>
  <c r="AA466" i="7" s="1"/>
  <c r="F476" i="7"/>
  <c r="D485" i="7"/>
  <c r="C343" i="7"/>
  <c r="D343" i="7" s="1"/>
  <c r="E343" i="7" s="1"/>
  <c r="F343" i="7" s="1"/>
  <c r="G343" i="7" s="1"/>
  <c r="H343" i="7" s="1"/>
  <c r="I343" i="7" s="1"/>
  <c r="J343" i="7" s="1"/>
  <c r="K343" i="7" s="1"/>
  <c r="L343" i="7" s="1"/>
  <c r="M343" i="7" s="1"/>
  <c r="N343" i="7" s="1"/>
  <c r="O343" i="7" s="1"/>
  <c r="P343" i="7" s="1"/>
  <c r="Q343" i="7" s="1"/>
  <c r="R343" i="7" s="1"/>
  <c r="S343" i="7" s="1"/>
  <c r="T343" i="7" s="1"/>
  <c r="U343" i="7" s="1"/>
  <c r="V343" i="7" s="1"/>
  <c r="W343" i="7" s="1"/>
  <c r="X343" i="7" s="1"/>
  <c r="Y343" i="7" s="1"/>
  <c r="Z343" i="7" s="1"/>
  <c r="AA343" i="7" s="1"/>
  <c r="D326" i="7"/>
  <c r="E326" i="7" s="1"/>
  <c r="F326" i="7" s="1"/>
  <c r="G326" i="7" s="1"/>
  <c r="H326" i="7" s="1"/>
  <c r="I326" i="7" s="1"/>
  <c r="J326" i="7" s="1"/>
  <c r="K326" i="7" s="1"/>
  <c r="L326" i="7" s="1"/>
  <c r="M326" i="7" s="1"/>
  <c r="N326" i="7" s="1"/>
  <c r="O326" i="7" s="1"/>
  <c r="P326" i="7" s="1"/>
  <c r="Q326" i="7" s="1"/>
  <c r="R326" i="7" s="1"/>
  <c r="S326" i="7" s="1"/>
  <c r="T326" i="7" s="1"/>
  <c r="U326" i="7" s="1"/>
  <c r="V326" i="7" s="1"/>
  <c r="W326" i="7" s="1"/>
  <c r="X326" i="7" s="1"/>
  <c r="Y326" i="7" s="1"/>
  <c r="Z326" i="7" s="1"/>
  <c r="AA326" i="7" s="1"/>
  <c r="G315" i="7"/>
  <c r="B297" i="7"/>
  <c r="C329" i="7" s="1"/>
  <c r="B300" i="7"/>
  <c r="C330" i="7" s="1"/>
  <c r="D345" i="7"/>
  <c r="E336" i="7"/>
  <c r="F336" i="7" s="1"/>
  <c r="B350" i="7"/>
  <c r="B348" i="7" s="1"/>
  <c r="B352" i="7" s="1"/>
  <c r="C334" i="7"/>
  <c r="B311" i="7"/>
  <c r="B313" i="7" s="1"/>
  <c r="B314" i="7" s="1"/>
  <c r="C345" i="7"/>
  <c r="F342" i="7"/>
  <c r="C413" i="7"/>
  <c r="D413" i="7" s="1"/>
  <c r="E413" i="7" s="1"/>
  <c r="F413" i="7" s="1"/>
  <c r="G413" i="7" s="1"/>
  <c r="H413" i="7" s="1"/>
  <c r="I413" i="7" s="1"/>
  <c r="J413" i="7" s="1"/>
  <c r="K413" i="7" s="1"/>
  <c r="L413" i="7" s="1"/>
  <c r="M413" i="7" s="1"/>
  <c r="N413" i="7" s="1"/>
  <c r="O413" i="7" s="1"/>
  <c r="P413" i="7" s="1"/>
  <c r="Q413" i="7" s="1"/>
  <c r="R413" i="7" s="1"/>
  <c r="S413" i="7" s="1"/>
  <c r="T413" i="7" s="1"/>
  <c r="U413" i="7" s="1"/>
  <c r="V413" i="7" s="1"/>
  <c r="W413" i="7" s="1"/>
  <c r="X413" i="7" s="1"/>
  <c r="Y413" i="7" s="1"/>
  <c r="Z413" i="7" s="1"/>
  <c r="AA413" i="7" s="1"/>
  <c r="D396" i="7"/>
  <c r="E396" i="7" s="1"/>
  <c r="F396" i="7" s="1"/>
  <c r="G396" i="7" s="1"/>
  <c r="H396" i="7" s="1"/>
  <c r="I396" i="7" s="1"/>
  <c r="J396" i="7" s="1"/>
  <c r="K396" i="7" s="1"/>
  <c r="L396" i="7" s="1"/>
  <c r="M396" i="7" s="1"/>
  <c r="N396" i="7" s="1"/>
  <c r="O396" i="7" s="1"/>
  <c r="P396" i="7" s="1"/>
  <c r="Q396" i="7" s="1"/>
  <c r="R396" i="7" s="1"/>
  <c r="S396" i="7" s="1"/>
  <c r="T396" i="7" s="1"/>
  <c r="U396" i="7" s="1"/>
  <c r="V396" i="7" s="1"/>
  <c r="W396" i="7" s="1"/>
  <c r="X396" i="7" s="1"/>
  <c r="Y396" i="7" s="1"/>
  <c r="Z396" i="7" s="1"/>
  <c r="AA396" i="7" s="1"/>
  <c r="F385" i="7"/>
  <c r="C388" i="7"/>
  <c r="E391" i="7"/>
  <c r="B367" i="7"/>
  <c r="C399" i="7" s="1"/>
  <c r="B370" i="7"/>
  <c r="C400" i="7" s="1"/>
  <c r="D390" i="7"/>
  <c r="E390" i="7" s="1"/>
  <c r="F390" i="7" s="1"/>
  <c r="G390" i="7" s="1"/>
  <c r="H390" i="7" s="1"/>
  <c r="I390" i="7" s="1"/>
  <c r="J390" i="7" s="1"/>
  <c r="K390" i="7" s="1"/>
  <c r="L390" i="7" s="1"/>
  <c r="M390" i="7" s="1"/>
  <c r="N390" i="7" s="1"/>
  <c r="O390" i="7" s="1"/>
  <c r="P390" i="7" s="1"/>
  <c r="Q390" i="7" s="1"/>
  <c r="R390" i="7" s="1"/>
  <c r="S390" i="7" s="1"/>
  <c r="T390" i="7" s="1"/>
  <c r="U390" i="7" s="1"/>
  <c r="V390" i="7" s="1"/>
  <c r="W390" i="7" s="1"/>
  <c r="X390" i="7" s="1"/>
  <c r="Y390" i="7" s="1"/>
  <c r="Z390" i="7" s="1"/>
  <c r="AA390" i="7" s="1"/>
  <c r="C606" i="7"/>
  <c r="D597" i="7"/>
  <c r="B420" i="7"/>
  <c r="B418" i="7" s="1"/>
  <c r="B422" i="7" s="1"/>
  <c r="C415" i="7"/>
  <c r="B381" i="7"/>
  <c r="B383" i="7" s="1"/>
  <c r="B384" i="7" s="1"/>
  <c r="C622" i="7"/>
  <c r="D622" i="7" s="1"/>
  <c r="E622" i="7" s="1"/>
  <c r="F622" i="7" s="1"/>
  <c r="G622" i="7" s="1"/>
  <c r="H622" i="7" s="1"/>
  <c r="I622" i="7" s="1"/>
  <c r="J622" i="7" s="1"/>
  <c r="K622" i="7" s="1"/>
  <c r="L622" i="7" s="1"/>
  <c r="M622" i="7" s="1"/>
  <c r="N622" i="7" s="1"/>
  <c r="O622" i="7" s="1"/>
  <c r="P622" i="7" s="1"/>
  <c r="Q622" i="7" s="1"/>
  <c r="R622" i="7" s="1"/>
  <c r="S622" i="7" s="1"/>
  <c r="T622" i="7" s="1"/>
  <c r="U622" i="7" s="1"/>
  <c r="V622" i="7" s="1"/>
  <c r="W622" i="7" s="1"/>
  <c r="X622" i="7" s="1"/>
  <c r="Y622" i="7" s="1"/>
  <c r="Z622" i="7" s="1"/>
  <c r="AA622" i="7" s="1"/>
  <c r="D605" i="7"/>
  <c r="E605" i="7" s="1"/>
  <c r="F605" i="7" s="1"/>
  <c r="G605" i="7" s="1"/>
  <c r="H605" i="7" s="1"/>
  <c r="I605" i="7" s="1"/>
  <c r="J605" i="7" s="1"/>
  <c r="K605" i="7" s="1"/>
  <c r="L605" i="7" s="1"/>
  <c r="M605" i="7" s="1"/>
  <c r="N605" i="7" s="1"/>
  <c r="O605" i="7" s="1"/>
  <c r="P605" i="7" s="1"/>
  <c r="Q605" i="7" s="1"/>
  <c r="R605" i="7" s="1"/>
  <c r="S605" i="7" s="1"/>
  <c r="T605" i="7" s="1"/>
  <c r="U605" i="7" s="1"/>
  <c r="V605" i="7" s="1"/>
  <c r="W605" i="7" s="1"/>
  <c r="X605" i="7" s="1"/>
  <c r="Y605" i="7" s="1"/>
  <c r="Z605" i="7" s="1"/>
  <c r="AA605" i="7" s="1"/>
  <c r="E412" i="7"/>
  <c r="B629" i="7"/>
  <c r="B627" i="7" s="1"/>
  <c r="B631" i="7" s="1"/>
  <c r="C615" i="7"/>
  <c r="C624" i="7" s="1"/>
  <c r="B579" i="7"/>
  <c r="B576" i="7"/>
  <c r="C608" i="7" s="1"/>
  <c r="B590" i="7"/>
  <c r="B592" i="7" s="1"/>
  <c r="B593" i="7" s="1"/>
  <c r="F609" i="7"/>
  <c r="G594" i="7"/>
  <c r="F600" i="7"/>
  <c r="E633" i="7"/>
  <c r="D599" i="7"/>
  <c r="E599" i="7" s="1"/>
  <c r="F599" i="7" s="1"/>
  <c r="G599" i="7" s="1"/>
  <c r="H599" i="7" s="1"/>
  <c r="I599" i="7" s="1"/>
  <c r="J599" i="7" s="1"/>
  <c r="K599" i="7" s="1"/>
  <c r="L599" i="7" s="1"/>
  <c r="M599" i="7" s="1"/>
  <c r="N599" i="7" s="1"/>
  <c r="O599" i="7" s="1"/>
  <c r="P599" i="7" s="1"/>
  <c r="Q599" i="7" s="1"/>
  <c r="R599" i="7" s="1"/>
  <c r="S599" i="7" s="1"/>
  <c r="T599" i="7" s="1"/>
  <c r="U599" i="7" s="1"/>
  <c r="V599" i="7" s="1"/>
  <c r="W599" i="7" s="1"/>
  <c r="X599" i="7" s="1"/>
  <c r="Y599" i="7" s="1"/>
  <c r="Z599" i="7" s="1"/>
  <c r="AA599" i="7" s="1"/>
  <c r="C255" i="7"/>
  <c r="D249" i="7"/>
  <c r="E249" i="7" s="1"/>
  <c r="F249" i="7" s="1"/>
  <c r="G249" i="7" s="1"/>
  <c r="H249" i="7" s="1"/>
  <c r="I249" i="7" s="1"/>
  <c r="J249" i="7" s="1"/>
  <c r="K249" i="7" s="1"/>
  <c r="L249" i="7" s="1"/>
  <c r="M249" i="7" s="1"/>
  <c r="N249" i="7" s="1"/>
  <c r="O249" i="7" s="1"/>
  <c r="P249" i="7" s="1"/>
  <c r="Q249" i="7" s="1"/>
  <c r="R249" i="7" s="1"/>
  <c r="S249" i="7" s="1"/>
  <c r="T249" i="7" s="1"/>
  <c r="U249" i="7" s="1"/>
  <c r="V249" i="7" s="1"/>
  <c r="W249" i="7" s="1"/>
  <c r="X249" i="7" s="1"/>
  <c r="Y249" i="7" s="1"/>
  <c r="Z249" i="7" s="1"/>
  <c r="AA249" i="7" s="1"/>
  <c r="F244" i="7"/>
  <c r="B279" i="7"/>
  <c r="B277" i="7" s="1"/>
  <c r="B281" i="7" s="1"/>
  <c r="B229" i="7"/>
  <c r="C259" i="7" s="1"/>
  <c r="B226" i="7"/>
  <c r="C258" i="7" s="1"/>
  <c r="C274" i="7"/>
  <c r="C247" i="7"/>
  <c r="B240" i="7"/>
  <c r="B242" i="7" s="1"/>
  <c r="B243" i="7" s="1"/>
  <c r="E250" i="7"/>
  <c r="E283" i="7"/>
  <c r="F271" i="7"/>
  <c r="B157" i="7"/>
  <c r="C189" i="7" s="1"/>
  <c r="D189" i="7"/>
  <c r="E175" i="7"/>
  <c r="E178" i="7"/>
  <c r="D187" i="7"/>
  <c r="B210" i="7"/>
  <c r="B208" i="7" s="1"/>
  <c r="B212" i="7" s="1"/>
  <c r="B171" i="7"/>
  <c r="B173" i="7" s="1"/>
  <c r="B174" i="7" s="1"/>
  <c r="D181" i="7"/>
  <c r="D186" i="7"/>
  <c r="E186" i="7" s="1"/>
  <c r="F186" i="7" s="1"/>
  <c r="G186" i="7" s="1"/>
  <c r="H186" i="7" s="1"/>
  <c r="I186" i="7" s="1"/>
  <c r="J186" i="7" s="1"/>
  <c r="K186" i="7" s="1"/>
  <c r="L186" i="7" s="1"/>
  <c r="M186" i="7" s="1"/>
  <c r="N186" i="7" s="1"/>
  <c r="O186" i="7" s="1"/>
  <c r="P186" i="7" s="1"/>
  <c r="Q186" i="7" s="1"/>
  <c r="R186" i="7" s="1"/>
  <c r="S186" i="7" s="1"/>
  <c r="T186" i="7" s="1"/>
  <c r="U186" i="7" s="1"/>
  <c r="V186" i="7" s="1"/>
  <c r="W186" i="7" s="1"/>
  <c r="X186" i="7" s="1"/>
  <c r="Y186" i="7" s="1"/>
  <c r="Z186" i="7" s="1"/>
  <c r="AA186" i="7" s="1"/>
  <c r="C187" i="7"/>
  <c r="C205" i="7"/>
  <c r="F202" i="7"/>
  <c r="D112" i="7"/>
  <c r="D115" i="7" s="1"/>
  <c r="D129" i="7" s="1"/>
  <c r="D137" i="7" s="1"/>
  <c r="C142" i="7"/>
  <c r="D109" i="7"/>
  <c r="D118" i="7" s="1"/>
  <c r="C140" i="7"/>
  <c r="C117" i="7"/>
  <c r="D111" i="7"/>
  <c r="E111" i="7" s="1"/>
  <c r="F111" i="7" s="1"/>
  <c r="G111" i="7" s="1"/>
  <c r="H111" i="7" s="1"/>
  <c r="I111" i="7" s="1"/>
  <c r="J111" i="7" s="1"/>
  <c r="K111" i="7" s="1"/>
  <c r="L111" i="7" s="1"/>
  <c r="M111" i="7" s="1"/>
  <c r="N111" i="7" s="1"/>
  <c r="O111" i="7" s="1"/>
  <c r="P111" i="7" s="1"/>
  <c r="Q111" i="7" s="1"/>
  <c r="R111" i="7" s="1"/>
  <c r="S111" i="7" s="1"/>
  <c r="T111" i="7" s="1"/>
  <c r="U111" i="7" s="1"/>
  <c r="V111" i="7" s="1"/>
  <c r="W111" i="7" s="1"/>
  <c r="X111" i="7" s="1"/>
  <c r="Y111" i="7" s="1"/>
  <c r="Z111" i="7" s="1"/>
  <c r="AA111" i="7" s="1"/>
  <c r="F106" i="7"/>
  <c r="B88" i="7"/>
  <c r="C120" i="7" s="1"/>
  <c r="B91" i="7"/>
  <c r="E121" i="7" s="1"/>
  <c r="D136" i="7"/>
  <c r="B141" i="7"/>
  <c r="B139" i="7" s="1"/>
  <c r="B143" i="7" s="1"/>
  <c r="B102" i="7"/>
  <c r="B104" i="7" s="1"/>
  <c r="B105" i="7" s="1"/>
  <c r="E133" i="7"/>
  <c r="Z29" i="1"/>
  <c r="AA30" i="1"/>
  <c r="AT28" i="14" l="1"/>
  <c r="AB30" i="13"/>
  <c r="AT28" i="4"/>
  <c r="F608" i="7"/>
  <c r="AS27" i="14"/>
  <c r="AA29" i="13"/>
  <c r="AS27" i="4"/>
  <c r="D400" i="7"/>
  <c r="E330" i="7"/>
  <c r="D329" i="7"/>
  <c r="D194" i="7"/>
  <c r="C85" i="10"/>
  <c r="F345" i="7"/>
  <c r="F334" i="7"/>
  <c r="D330" i="7"/>
  <c r="D324" i="7"/>
  <c r="D338" i="7" s="1"/>
  <c r="D346" i="7" s="1"/>
  <c r="E321" i="7"/>
  <c r="E196" i="7"/>
  <c r="E194" i="7" s="1"/>
  <c r="D190" i="7"/>
  <c r="F330" i="7"/>
  <c r="C613" i="7"/>
  <c r="B567" i="7"/>
  <c r="B565" i="7"/>
  <c r="B563" i="7"/>
  <c r="F555" i="7"/>
  <c r="G544" i="7"/>
  <c r="D559" i="7"/>
  <c r="E564" i="7"/>
  <c r="F552" i="7"/>
  <c r="C559" i="7"/>
  <c r="C558" i="7"/>
  <c r="D540" i="7"/>
  <c r="D558" i="7" s="1"/>
  <c r="E540" i="7"/>
  <c r="E539" i="7"/>
  <c r="F525" i="7"/>
  <c r="H546" i="7"/>
  <c r="F544" i="7"/>
  <c r="C538" i="7"/>
  <c r="C545" i="7" s="1"/>
  <c r="C547" i="7" s="1"/>
  <c r="E537" i="7"/>
  <c r="F528" i="7"/>
  <c r="F531" i="7"/>
  <c r="E534" i="7"/>
  <c r="E548" i="7" s="1"/>
  <c r="E556" i="7" s="1"/>
  <c r="B497" i="7"/>
  <c r="B495" i="7"/>
  <c r="B493" i="7"/>
  <c r="F485" i="7"/>
  <c r="E494" i="7"/>
  <c r="F482" i="7"/>
  <c r="E469" i="7"/>
  <c r="E470" i="7"/>
  <c r="F455" i="7"/>
  <c r="D464" i="7"/>
  <c r="D478" i="7" s="1"/>
  <c r="D486" i="7" s="1"/>
  <c r="E461" i="7"/>
  <c r="G476" i="7"/>
  <c r="G485" i="7" s="1"/>
  <c r="F474" i="7"/>
  <c r="D467" i="7"/>
  <c r="C489" i="7"/>
  <c r="C488" i="7"/>
  <c r="D488" i="7" s="1"/>
  <c r="C475" i="7"/>
  <c r="C477" i="7" s="1"/>
  <c r="D415" i="7"/>
  <c r="E400" i="7"/>
  <c r="D399" i="7"/>
  <c r="F354" i="7"/>
  <c r="G342" i="7"/>
  <c r="D318" i="7"/>
  <c r="E345" i="7"/>
  <c r="E334" i="7"/>
  <c r="F329" i="7"/>
  <c r="C328" i="7"/>
  <c r="C335" i="7" s="1"/>
  <c r="C337" i="7" s="1"/>
  <c r="C339" i="7" s="1"/>
  <c r="G330" i="7"/>
  <c r="H315" i="7"/>
  <c r="G329" i="7"/>
  <c r="E329" i="7"/>
  <c r="B357" i="7"/>
  <c r="B355" i="7"/>
  <c r="B353" i="7"/>
  <c r="D328" i="7"/>
  <c r="D609" i="7"/>
  <c r="C609" i="7"/>
  <c r="C607" i="7" s="1"/>
  <c r="C614" i="7" s="1"/>
  <c r="C616" i="7" s="1"/>
  <c r="D615" i="7"/>
  <c r="E608" i="7"/>
  <c r="D606" i="7"/>
  <c r="E597" i="7"/>
  <c r="B636" i="7"/>
  <c r="B632" i="7"/>
  <c r="B634" i="7"/>
  <c r="F603" i="7"/>
  <c r="F617" i="7" s="1"/>
  <c r="F625" i="7" s="1"/>
  <c r="G600" i="7"/>
  <c r="D608" i="7"/>
  <c r="B425" i="7"/>
  <c r="B423" i="7"/>
  <c r="B427" i="7"/>
  <c r="C628" i="7"/>
  <c r="C627" i="7"/>
  <c r="E394" i="7"/>
  <c r="E408" i="7" s="1"/>
  <c r="E416" i="7" s="1"/>
  <c r="F391" i="7"/>
  <c r="G609" i="7"/>
  <c r="H594" i="7"/>
  <c r="G608" i="7"/>
  <c r="E615" i="7"/>
  <c r="E624" i="7" s="1"/>
  <c r="E424" i="7"/>
  <c r="F412" i="7"/>
  <c r="C397" i="7"/>
  <c r="D388" i="7"/>
  <c r="F633" i="7"/>
  <c r="G621" i="7"/>
  <c r="E609" i="7"/>
  <c r="C398" i="7"/>
  <c r="F400" i="7"/>
  <c r="F399" i="7"/>
  <c r="G385" i="7"/>
  <c r="E399" i="7"/>
  <c r="D259" i="7"/>
  <c r="C256" i="7"/>
  <c r="D247" i="7"/>
  <c r="E258" i="7"/>
  <c r="C257" i="7"/>
  <c r="D258" i="7"/>
  <c r="B286" i="7"/>
  <c r="B284" i="7"/>
  <c r="B282" i="7"/>
  <c r="E253" i="7"/>
  <c r="E267" i="7" s="1"/>
  <c r="E275" i="7" s="1"/>
  <c r="F250" i="7"/>
  <c r="F259" i="7"/>
  <c r="F258" i="7"/>
  <c r="G244" i="7"/>
  <c r="F283" i="7"/>
  <c r="G271" i="7"/>
  <c r="E259" i="7"/>
  <c r="C272" i="7"/>
  <c r="D272" i="7" s="1"/>
  <c r="E272" i="7" s="1"/>
  <c r="F272" i="7" s="1"/>
  <c r="G272" i="7" s="1"/>
  <c r="H272" i="7" s="1"/>
  <c r="I272" i="7" s="1"/>
  <c r="J272" i="7" s="1"/>
  <c r="K272" i="7" s="1"/>
  <c r="L272" i="7" s="1"/>
  <c r="M272" i="7" s="1"/>
  <c r="N272" i="7" s="1"/>
  <c r="O272" i="7" s="1"/>
  <c r="P272" i="7" s="1"/>
  <c r="Q272" i="7" s="1"/>
  <c r="R272" i="7" s="1"/>
  <c r="S272" i="7" s="1"/>
  <c r="T272" i="7" s="1"/>
  <c r="U272" i="7" s="1"/>
  <c r="V272" i="7" s="1"/>
  <c r="W272" i="7" s="1"/>
  <c r="X272" i="7" s="1"/>
  <c r="Y272" i="7" s="1"/>
  <c r="Z272" i="7" s="1"/>
  <c r="AA272" i="7" s="1"/>
  <c r="D255" i="7"/>
  <c r="E255" i="7" s="1"/>
  <c r="F255" i="7" s="1"/>
  <c r="G255" i="7" s="1"/>
  <c r="H255" i="7" s="1"/>
  <c r="I255" i="7" s="1"/>
  <c r="J255" i="7" s="1"/>
  <c r="K255" i="7" s="1"/>
  <c r="L255" i="7" s="1"/>
  <c r="M255" i="7" s="1"/>
  <c r="N255" i="7" s="1"/>
  <c r="O255" i="7" s="1"/>
  <c r="P255" i="7" s="1"/>
  <c r="Q255" i="7" s="1"/>
  <c r="R255" i="7" s="1"/>
  <c r="S255" i="7" s="1"/>
  <c r="T255" i="7" s="1"/>
  <c r="U255" i="7" s="1"/>
  <c r="V255" i="7" s="1"/>
  <c r="W255" i="7" s="1"/>
  <c r="X255" i="7" s="1"/>
  <c r="Y255" i="7" s="1"/>
  <c r="Z255" i="7" s="1"/>
  <c r="AA255" i="7" s="1"/>
  <c r="C188" i="7"/>
  <c r="C195" i="7" s="1"/>
  <c r="C197" i="7" s="1"/>
  <c r="B217" i="7"/>
  <c r="B215" i="7"/>
  <c r="B213" i="7"/>
  <c r="E190" i="7"/>
  <c r="E189" i="7"/>
  <c r="F175" i="7"/>
  <c r="F214" i="7"/>
  <c r="G202" i="7"/>
  <c r="C209" i="7"/>
  <c r="C208" i="7"/>
  <c r="D208" i="7" s="1"/>
  <c r="D209" i="7"/>
  <c r="D184" i="7"/>
  <c r="D198" i="7" s="1"/>
  <c r="D206" i="7" s="1"/>
  <c r="E181" i="7"/>
  <c r="E187" i="7"/>
  <c r="F178" i="7"/>
  <c r="E112" i="7"/>
  <c r="E115" i="7" s="1"/>
  <c r="E129" i="7" s="1"/>
  <c r="E137" i="7" s="1"/>
  <c r="E109" i="7"/>
  <c r="E118" i="7" s="1"/>
  <c r="B148" i="7"/>
  <c r="B146" i="7"/>
  <c r="B144" i="7"/>
  <c r="C136" i="7"/>
  <c r="D120" i="7"/>
  <c r="F120" i="7"/>
  <c r="F121" i="7"/>
  <c r="G106" i="7"/>
  <c r="D140" i="7"/>
  <c r="E145" i="7"/>
  <c r="F133" i="7"/>
  <c r="D121" i="7"/>
  <c r="C121" i="7"/>
  <c r="C139" i="7" s="1"/>
  <c r="E120" i="7"/>
  <c r="C134" i="7"/>
  <c r="D134" i="7" s="1"/>
  <c r="E134" i="7" s="1"/>
  <c r="F134" i="7" s="1"/>
  <c r="G134" i="7" s="1"/>
  <c r="H134" i="7" s="1"/>
  <c r="I134" i="7" s="1"/>
  <c r="J134" i="7" s="1"/>
  <c r="K134" i="7" s="1"/>
  <c r="L134" i="7" s="1"/>
  <c r="M134" i="7" s="1"/>
  <c r="N134" i="7" s="1"/>
  <c r="O134" i="7" s="1"/>
  <c r="P134" i="7" s="1"/>
  <c r="Q134" i="7" s="1"/>
  <c r="R134" i="7" s="1"/>
  <c r="S134" i="7" s="1"/>
  <c r="T134" i="7" s="1"/>
  <c r="U134" i="7" s="1"/>
  <c r="V134" i="7" s="1"/>
  <c r="W134" i="7" s="1"/>
  <c r="X134" i="7" s="1"/>
  <c r="Y134" i="7" s="1"/>
  <c r="Z134" i="7" s="1"/>
  <c r="AA134" i="7" s="1"/>
  <c r="D117" i="7"/>
  <c r="E117" i="7" s="1"/>
  <c r="F117" i="7" s="1"/>
  <c r="G117" i="7" s="1"/>
  <c r="H117" i="7" s="1"/>
  <c r="I117" i="7" s="1"/>
  <c r="J117" i="7" s="1"/>
  <c r="K117" i="7" s="1"/>
  <c r="L117" i="7" s="1"/>
  <c r="M117" i="7" s="1"/>
  <c r="N117" i="7" s="1"/>
  <c r="O117" i="7" s="1"/>
  <c r="P117" i="7" s="1"/>
  <c r="Q117" i="7" s="1"/>
  <c r="R117" i="7" s="1"/>
  <c r="S117" i="7" s="1"/>
  <c r="T117" i="7" s="1"/>
  <c r="U117" i="7" s="1"/>
  <c r="V117" i="7" s="1"/>
  <c r="W117" i="7" s="1"/>
  <c r="X117" i="7" s="1"/>
  <c r="Y117" i="7" s="1"/>
  <c r="Z117" i="7" s="1"/>
  <c r="AA117" i="7" s="1"/>
  <c r="AB35" i="13"/>
  <c r="Z35" i="13"/>
  <c r="Y35" i="13"/>
  <c r="X35" i="13"/>
  <c r="Z31" i="13"/>
  <c r="Y31" i="13"/>
  <c r="AB31" i="13"/>
  <c r="AB27" i="13"/>
  <c r="Z27" i="13"/>
  <c r="Y27" i="13"/>
  <c r="X27" i="13"/>
  <c r="Q27" i="3"/>
  <c r="Q21" i="3"/>
  <c r="Z34" i="1"/>
  <c r="Z26" i="1"/>
  <c r="AS24" i="14" l="1"/>
  <c r="AA26" i="13"/>
  <c r="AS24" i="4"/>
  <c r="AS32" i="14"/>
  <c r="AA34" i="13"/>
  <c r="AS32" i="4"/>
  <c r="AB20" i="13"/>
  <c r="AS29" i="14"/>
  <c r="AU27" i="14"/>
  <c r="AU28" i="14"/>
  <c r="AU29" i="14" s="1"/>
  <c r="AT29" i="14"/>
  <c r="AT18" i="14" s="1"/>
  <c r="E328" i="7"/>
  <c r="E318" i="7"/>
  <c r="F318" i="7" s="1"/>
  <c r="E468" i="7"/>
  <c r="E324" i="7"/>
  <c r="E338" i="7" s="1"/>
  <c r="E346" i="7" s="1"/>
  <c r="F321" i="7"/>
  <c r="D627" i="7"/>
  <c r="Y20" i="13"/>
  <c r="Y19" i="13" s="1"/>
  <c r="AA35" i="13"/>
  <c r="Z20" i="13"/>
  <c r="Z19" i="13" s="1"/>
  <c r="C554" i="7"/>
  <c r="C549" i="7"/>
  <c r="F534" i="7"/>
  <c r="F548" i="7" s="1"/>
  <c r="F556" i="7" s="1"/>
  <c r="G531" i="7"/>
  <c r="H544" i="7"/>
  <c r="E558" i="7"/>
  <c r="G528" i="7"/>
  <c r="F537" i="7"/>
  <c r="F540" i="7"/>
  <c r="F539" i="7"/>
  <c r="F538" i="7" s="1"/>
  <c r="G525" i="7"/>
  <c r="F564" i="7"/>
  <c r="G552" i="7"/>
  <c r="D538" i="7"/>
  <c r="D545" i="7" s="1"/>
  <c r="D547" i="7" s="1"/>
  <c r="E559" i="7"/>
  <c r="E538" i="7"/>
  <c r="E545" i="7" s="1"/>
  <c r="E547" i="7" s="1"/>
  <c r="I546" i="7"/>
  <c r="I544" i="7" s="1"/>
  <c r="B566" i="7"/>
  <c r="H555" i="7"/>
  <c r="G474" i="7"/>
  <c r="H476" i="7"/>
  <c r="H485" i="7" s="1"/>
  <c r="E467" i="7"/>
  <c r="D475" i="7"/>
  <c r="D477" i="7" s="1"/>
  <c r="D489" i="7"/>
  <c r="E464" i="7"/>
  <c r="E478" i="7" s="1"/>
  <c r="E486" i="7" s="1"/>
  <c r="F461" i="7"/>
  <c r="B496" i="7"/>
  <c r="C484" i="7"/>
  <c r="C479" i="7"/>
  <c r="F469" i="7"/>
  <c r="F470" i="7"/>
  <c r="G455" i="7"/>
  <c r="F494" i="7"/>
  <c r="G482" i="7"/>
  <c r="D398" i="7"/>
  <c r="E398" i="7"/>
  <c r="D327" i="7"/>
  <c r="G336" i="7"/>
  <c r="H336" i="7" s="1"/>
  <c r="H345" i="7" s="1"/>
  <c r="C349" i="7"/>
  <c r="C348" i="7"/>
  <c r="D348" i="7" s="1"/>
  <c r="B356" i="7"/>
  <c r="H330" i="7"/>
  <c r="I315" i="7"/>
  <c r="H329" i="7"/>
  <c r="G354" i="7"/>
  <c r="H342" i="7"/>
  <c r="F328" i="7"/>
  <c r="C623" i="7"/>
  <c r="C618" i="7"/>
  <c r="G602" i="7"/>
  <c r="H600" i="7" s="1"/>
  <c r="F597" i="7"/>
  <c r="E606" i="7"/>
  <c r="D624" i="7"/>
  <c r="E613" i="7"/>
  <c r="E607" i="7" s="1"/>
  <c r="D613" i="7"/>
  <c r="G391" i="7"/>
  <c r="F394" i="7"/>
  <c r="F408" i="7" s="1"/>
  <c r="F416" i="7" s="1"/>
  <c r="B426" i="7"/>
  <c r="D607" i="7"/>
  <c r="D614" i="7" s="1"/>
  <c r="D616" i="7" s="1"/>
  <c r="D628" i="7"/>
  <c r="F406" i="7"/>
  <c r="F615" i="7"/>
  <c r="D397" i="7"/>
  <c r="E388" i="7"/>
  <c r="B635" i="7"/>
  <c r="G399" i="7"/>
  <c r="G400" i="7"/>
  <c r="H385" i="7"/>
  <c r="G633" i="7"/>
  <c r="H621" i="7"/>
  <c r="C418" i="7"/>
  <c r="D418" i="7" s="1"/>
  <c r="C419" i="7"/>
  <c r="C405" i="7"/>
  <c r="C407" i="7" s="1"/>
  <c r="F424" i="7"/>
  <c r="G412" i="7"/>
  <c r="H609" i="7"/>
  <c r="H608" i="7"/>
  <c r="I594" i="7"/>
  <c r="E415" i="7"/>
  <c r="E274" i="7"/>
  <c r="D274" i="7"/>
  <c r="G250" i="7"/>
  <c r="F253" i="7"/>
  <c r="F267" i="7" s="1"/>
  <c r="F275" i="7" s="1"/>
  <c r="G259" i="7"/>
  <c r="H244" i="7"/>
  <c r="G258" i="7"/>
  <c r="G283" i="7"/>
  <c r="H271" i="7"/>
  <c r="B285" i="7"/>
  <c r="D257" i="7"/>
  <c r="E247" i="7"/>
  <c r="D256" i="7"/>
  <c r="C278" i="7"/>
  <c r="C277" i="7"/>
  <c r="C264" i="7"/>
  <c r="C266" i="7" s="1"/>
  <c r="E209" i="7"/>
  <c r="E208" i="7"/>
  <c r="G214" i="7"/>
  <c r="H202" i="7"/>
  <c r="D205" i="7"/>
  <c r="F187" i="7"/>
  <c r="G178" i="7"/>
  <c r="F181" i="7"/>
  <c r="E184" i="7"/>
  <c r="E198" i="7" s="1"/>
  <c r="E206" i="7" s="1"/>
  <c r="D188" i="7"/>
  <c r="D195" i="7" s="1"/>
  <c r="D197" i="7" s="1"/>
  <c r="F190" i="7"/>
  <c r="G175" i="7"/>
  <c r="F189" i="7"/>
  <c r="B216" i="7"/>
  <c r="C204" i="7"/>
  <c r="C199" i="7"/>
  <c r="F112" i="7"/>
  <c r="G112" i="7" s="1"/>
  <c r="F109" i="7"/>
  <c r="G109" i="7" s="1"/>
  <c r="D139" i="7"/>
  <c r="E139" i="7" s="1"/>
  <c r="C119" i="7"/>
  <c r="C126" i="7" s="1"/>
  <c r="C128" i="7" s="1"/>
  <c r="C130" i="7" s="1"/>
  <c r="E136" i="7"/>
  <c r="F136" i="7"/>
  <c r="F145" i="7"/>
  <c r="G133" i="7"/>
  <c r="E140" i="7"/>
  <c r="D119" i="7"/>
  <c r="D126" i="7" s="1"/>
  <c r="D128" i="7" s="1"/>
  <c r="B147" i="7"/>
  <c r="G120" i="7"/>
  <c r="G121" i="7"/>
  <c r="H106" i="7"/>
  <c r="E119" i="7"/>
  <c r="E126" i="7" s="1"/>
  <c r="E128" i="7" s="1"/>
  <c r="AO21" i="4"/>
  <c r="X31" i="13"/>
  <c r="X20" i="13" s="1"/>
  <c r="AA31" i="13"/>
  <c r="F61" i="12"/>
  <c r="D277" i="7" l="1"/>
  <c r="AS33" i="14"/>
  <c r="AU32" i="14"/>
  <c r="AU33" i="14" s="1"/>
  <c r="AU24" i="14"/>
  <c r="AU25" i="14" s="1"/>
  <c r="AS25" i="14"/>
  <c r="AS18" i="14" s="1"/>
  <c r="F118" i="7"/>
  <c r="F468" i="7"/>
  <c r="AA27" i="13"/>
  <c r="AA20" i="13" s="1"/>
  <c r="AA19" i="13" s="1"/>
  <c r="F558" i="7"/>
  <c r="AR25" i="4"/>
  <c r="F324" i="7"/>
  <c r="F338" i="7" s="1"/>
  <c r="F346" i="7" s="1"/>
  <c r="G321" i="7"/>
  <c r="G406" i="7"/>
  <c r="G415" i="7" s="1"/>
  <c r="F404" i="7"/>
  <c r="E554" i="7"/>
  <c r="E549" i="7"/>
  <c r="G540" i="7"/>
  <c r="G539" i="7"/>
  <c r="H525" i="7"/>
  <c r="H528" i="7"/>
  <c r="G537" i="7"/>
  <c r="D554" i="7"/>
  <c r="D549" i="7"/>
  <c r="C550" i="7"/>
  <c r="C551" i="7" s="1"/>
  <c r="I555" i="7"/>
  <c r="G564" i="7"/>
  <c r="H552" i="7"/>
  <c r="G533" i="7"/>
  <c r="H531" i="7" s="1"/>
  <c r="F559" i="7"/>
  <c r="F545" i="7"/>
  <c r="F547" i="7" s="1"/>
  <c r="J546" i="7"/>
  <c r="H474" i="7"/>
  <c r="I476" i="7"/>
  <c r="G470" i="7"/>
  <c r="G469" i="7"/>
  <c r="H455" i="7"/>
  <c r="F464" i="7"/>
  <c r="F478" i="7" s="1"/>
  <c r="F486" i="7" s="1"/>
  <c r="G461" i="7"/>
  <c r="F467" i="7"/>
  <c r="G458" i="7"/>
  <c r="I485" i="7"/>
  <c r="G494" i="7"/>
  <c r="H482" i="7"/>
  <c r="C480" i="7"/>
  <c r="D479" i="7"/>
  <c r="D484" i="7"/>
  <c r="E489" i="7"/>
  <c r="E475" i="7"/>
  <c r="E477" i="7" s="1"/>
  <c r="E488" i="7"/>
  <c r="H354" i="7"/>
  <c r="I342" i="7"/>
  <c r="G345" i="7"/>
  <c r="H334" i="7"/>
  <c r="H328" i="7" s="1"/>
  <c r="I336" i="7"/>
  <c r="D349" i="7"/>
  <c r="D335" i="7"/>
  <c r="D337" i="7" s="1"/>
  <c r="G334" i="7"/>
  <c r="G328" i="7" s="1"/>
  <c r="I330" i="7"/>
  <c r="J315" i="7"/>
  <c r="I329" i="7"/>
  <c r="C344" i="7"/>
  <c r="E327" i="7"/>
  <c r="H602" i="7"/>
  <c r="I600" i="7" s="1"/>
  <c r="G615" i="7"/>
  <c r="H615" i="7" s="1"/>
  <c r="H624" i="7" s="1"/>
  <c r="H399" i="7"/>
  <c r="I385" i="7"/>
  <c r="H400" i="7"/>
  <c r="F415" i="7"/>
  <c r="F398" i="7"/>
  <c r="H406" i="7"/>
  <c r="G393" i="7"/>
  <c r="H391" i="7" s="1"/>
  <c r="G424" i="7"/>
  <c r="H412" i="7"/>
  <c r="D623" i="7"/>
  <c r="D618" i="7"/>
  <c r="E614" i="7"/>
  <c r="E616" i="7" s="1"/>
  <c r="E628" i="7"/>
  <c r="E627" i="7"/>
  <c r="G630" i="7"/>
  <c r="G603" i="7"/>
  <c r="G617" i="7" s="1"/>
  <c r="G625" i="7" s="1"/>
  <c r="I609" i="7"/>
  <c r="I608" i="7"/>
  <c r="J594" i="7"/>
  <c r="E397" i="7"/>
  <c r="F388" i="7"/>
  <c r="H633" i="7"/>
  <c r="I621" i="7"/>
  <c r="D419" i="7"/>
  <c r="D405" i="7"/>
  <c r="D407" i="7" s="1"/>
  <c r="F606" i="7"/>
  <c r="G597" i="7"/>
  <c r="C619" i="7"/>
  <c r="C414" i="7"/>
  <c r="C409" i="7"/>
  <c r="F624" i="7"/>
  <c r="F613" i="7"/>
  <c r="F607" i="7" s="1"/>
  <c r="C135" i="7"/>
  <c r="F274" i="7"/>
  <c r="E257" i="7"/>
  <c r="E256" i="7"/>
  <c r="F247" i="7"/>
  <c r="H259" i="7"/>
  <c r="H258" i="7"/>
  <c r="I244" i="7"/>
  <c r="C268" i="7"/>
  <c r="C273" i="7"/>
  <c r="G252" i="7"/>
  <c r="D278" i="7"/>
  <c r="D264" i="7"/>
  <c r="D266" i="7" s="1"/>
  <c r="H283" i="7"/>
  <c r="I271" i="7"/>
  <c r="F208" i="7"/>
  <c r="C200" i="7"/>
  <c r="C201" i="7" s="1"/>
  <c r="G190" i="7"/>
  <c r="G189" i="7"/>
  <c r="H175" i="7"/>
  <c r="D199" i="7"/>
  <c r="D204" i="7"/>
  <c r="H214" i="7"/>
  <c r="I202" i="7"/>
  <c r="E205" i="7"/>
  <c r="E188" i="7"/>
  <c r="E195" i="7" s="1"/>
  <c r="E197" i="7" s="1"/>
  <c r="H178" i="7"/>
  <c r="G187" i="7"/>
  <c r="F209" i="7"/>
  <c r="G181" i="7"/>
  <c r="F184" i="7"/>
  <c r="F198" i="7" s="1"/>
  <c r="F206" i="7" s="1"/>
  <c r="F196" i="7"/>
  <c r="F205" i="7" s="1"/>
  <c r="F115" i="7"/>
  <c r="F129" i="7" s="1"/>
  <c r="F137" i="7" s="1"/>
  <c r="F139" i="7"/>
  <c r="E135" i="7"/>
  <c r="E130" i="7"/>
  <c r="G145" i="7"/>
  <c r="H133" i="7"/>
  <c r="F140" i="7"/>
  <c r="G127" i="7"/>
  <c r="H127" i="7" s="1"/>
  <c r="H136" i="7" s="1"/>
  <c r="C131" i="7"/>
  <c r="G114" i="7"/>
  <c r="H112" i="7" s="1"/>
  <c r="D135" i="7"/>
  <c r="D130" i="7"/>
  <c r="G118" i="7"/>
  <c r="H109" i="7"/>
  <c r="F119" i="7"/>
  <c r="F126" i="7" s="1"/>
  <c r="F128" i="7" s="1"/>
  <c r="H121" i="7"/>
  <c r="I106" i="7"/>
  <c r="H120" i="7"/>
  <c r="G29" i="16"/>
  <c r="C20" i="16"/>
  <c r="AU18" i="14" l="1"/>
  <c r="G404" i="7"/>
  <c r="G398" i="7" s="1"/>
  <c r="G323" i="7"/>
  <c r="H321" i="7" s="1"/>
  <c r="F488" i="7"/>
  <c r="G613" i="7"/>
  <c r="G607" i="7" s="1"/>
  <c r="J555" i="7"/>
  <c r="K546" i="7"/>
  <c r="G561" i="7"/>
  <c r="G534" i="7"/>
  <c r="G548" i="7" s="1"/>
  <c r="G556" i="7" s="1"/>
  <c r="H537" i="7"/>
  <c r="I528" i="7"/>
  <c r="G558" i="7"/>
  <c r="F554" i="7"/>
  <c r="F549" i="7"/>
  <c r="D550" i="7"/>
  <c r="D551" i="7" s="1"/>
  <c r="H540" i="7"/>
  <c r="I525" i="7"/>
  <c r="H539" i="7"/>
  <c r="E550" i="7"/>
  <c r="E551" i="7" s="1"/>
  <c r="C557" i="7"/>
  <c r="C562" i="7" s="1"/>
  <c r="J544" i="7"/>
  <c r="G538" i="7"/>
  <c r="G545" i="7" s="1"/>
  <c r="G547" i="7" s="1"/>
  <c r="H533" i="7"/>
  <c r="I531" i="7" s="1"/>
  <c r="H564" i="7"/>
  <c r="I552" i="7"/>
  <c r="G559" i="7"/>
  <c r="I474" i="7"/>
  <c r="J476" i="7"/>
  <c r="D480" i="7"/>
  <c r="D481" i="7" s="1"/>
  <c r="G467" i="7"/>
  <c r="H458" i="7"/>
  <c r="F489" i="7"/>
  <c r="F475" i="7"/>
  <c r="F477" i="7" s="1"/>
  <c r="C487" i="7"/>
  <c r="C492" i="7" s="1"/>
  <c r="H494" i="7"/>
  <c r="I482" i="7"/>
  <c r="G463" i="7"/>
  <c r="H461" i="7" s="1"/>
  <c r="H470" i="7"/>
  <c r="I455" i="7"/>
  <c r="H469" i="7"/>
  <c r="E479" i="7"/>
  <c r="E484" i="7"/>
  <c r="C481" i="7"/>
  <c r="G468" i="7"/>
  <c r="I406" i="7"/>
  <c r="I415" i="7" s="1"/>
  <c r="E349" i="7"/>
  <c r="E335" i="7"/>
  <c r="E337" i="7" s="1"/>
  <c r="E348" i="7"/>
  <c r="I345" i="7"/>
  <c r="I334" i="7"/>
  <c r="I328" i="7" s="1"/>
  <c r="G318" i="7"/>
  <c r="F327" i="7"/>
  <c r="C340" i="7"/>
  <c r="C341" i="7" s="1"/>
  <c r="D339" i="7"/>
  <c r="D344" i="7"/>
  <c r="J336" i="7"/>
  <c r="I354" i="7"/>
  <c r="J342" i="7"/>
  <c r="J329" i="7"/>
  <c r="J330" i="7"/>
  <c r="K315" i="7"/>
  <c r="C410" i="7"/>
  <c r="D414" i="7"/>
  <c r="D409" i="7"/>
  <c r="I633" i="7"/>
  <c r="J621" i="7"/>
  <c r="G606" i="7"/>
  <c r="H597" i="7"/>
  <c r="H415" i="7"/>
  <c r="G624" i="7"/>
  <c r="F628" i="7"/>
  <c r="F614" i="7"/>
  <c r="F616" i="7" s="1"/>
  <c r="J608" i="7"/>
  <c r="J609" i="7"/>
  <c r="K594" i="7"/>
  <c r="H393" i="7"/>
  <c r="I391" i="7" s="1"/>
  <c r="I602" i="7"/>
  <c r="J600" i="7" s="1"/>
  <c r="C626" i="7"/>
  <c r="C631" i="7" s="1"/>
  <c r="H424" i="7"/>
  <c r="I412" i="7"/>
  <c r="I615" i="7"/>
  <c r="I613" i="7" s="1"/>
  <c r="I607" i="7" s="1"/>
  <c r="C620" i="7"/>
  <c r="F397" i="7"/>
  <c r="G388" i="7"/>
  <c r="F627" i="7"/>
  <c r="G627" i="7" s="1"/>
  <c r="E618" i="7"/>
  <c r="E623" i="7"/>
  <c r="G421" i="7"/>
  <c r="G394" i="7"/>
  <c r="G408" i="7" s="1"/>
  <c r="G416" i="7" s="1"/>
  <c r="H404" i="7"/>
  <c r="H398" i="7" s="1"/>
  <c r="I400" i="7"/>
  <c r="I399" i="7"/>
  <c r="J385" i="7"/>
  <c r="H613" i="7"/>
  <c r="H607" i="7" s="1"/>
  <c r="H630" i="7"/>
  <c r="H603" i="7"/>
  <c r="H617" i="7" s="1"/>
  <c r="H625" i="7" s="1"/>
  <c r="E419" i="7"/>
  <c r="E405" i="7"/>
  <c r="E407" i="7" s="1"/>
  <c r="E418" i="7"/>
  <c r="F418" i="7" s="1"/>
  <c r="D619" i="7"/>
  <c r="G265" i="7"/>
  <c r="F263" i="7"/>
  <c r="F257" i="7" s="1"/>
  <c r="G280" i="7"/>
  <c r="G253" i="7"/>
  <c r="G267" i="7" s="1"/>
  <c r="G275" i="7" s="1"/>
  <c r="E278" i="7"/>
  <c r="E264" i="7"/>
  <c r="E266" i="7" s="1"/>
  <c r="E277" i="7"/>
  <c r="D268" i="7"/>
  <c r="D273" i="7"/>
  <c r="C269" i="7"/>
  <c r="C270" i="7" s="1"/>
  <c r="I283" i="7"/>
  <c r="J271" i="7"/>
  <c r="H250" i="7"/>
  <c r="I258" i="7"/>
  <c r="I259" i="7"/>
  <c r="J244" i="7"/>
  <c r="F256" i="7"/>
  <c r="G247" i="7"/>
  <c r="G183" i="7"/>
  <c r="D200" i="7"/>
  <c r="D201" i="7" s="1"/>
  <c r="G209" i="7"/>
  <c r="F194" i="7"/>
  <c r="F188" i="7" s="1"/>
  <c r="F195" i="7" s="1"/>
  <c r="F197" i="7" s="1"/>
  <c r="I214" i="7"/>
  <c r="J202" i="7"/>
  <c r="H190" i="7"/>
  <c r="H189" i="7"/>
  <c r="I175" i="7"/>
  <c r="G196" i="7"/>
  <c r="G194" i="7" s="1"/>
  <c r="G188" i="7" s="1"/>
  <c r="G195" i="7" s="1"/>
  <c r="G197" i="7" s="1"/>
  <c r="I178" i="7"/>
  <c r="H187" i="7"/>
  <c r="E204" i="7"/>
  <c r="E199" i="7"/>
  <c r="C207" i="7"/>
  <c r="C212" i="7" s="1"/>
  <c r="G208" i="7"/>
  <c r="G140" i="7"/>
  <c r="D131" i="7"/>
  <c r="D132" i="7" s="1"/>
  <c r="H114" i="7"/>
  <c r="I112" i="7" s="1"/>
  <c r="C138" i="7"/>
  <c r="C143" i="7" s="1"/>
  <c r="G142" i="7"/>
  <c r="G115" i="7"/>
  <c r="G129" i="7" s="1"/>
  <c r="G137" i="7" s="1"/>
  <c r="C132" i="7"/>
  <c r="I127" i="7"/>
  <c r="J127" i="7" s="1"/>
  <c r="J136" i="7" s="1"/>
  <c r="G136" i="7"/>
  <c r="G125" i="7"/>
  <c r="G119" i="7" s="1"/>
  <c r="G126" i="7" s="1"/>
  <c r="G128" i="7" s="1"/>
  <c r="H145" i="7"/>
  <c r="I133" i="7"/>
  <c r="I121" i="7"/>
  <c r="I120" i="7"/>
  <c r="J106" i="7"/>
  <c r="F130" i="7"/>
  <c r="F135" i="7"/>
  <c r="H118" i="7"/>
  <c r="I109" i="7"/>
  <c r="H125" i="7"/>
  <c r="H119" i="7" s="1"/>
  <c r="G139" i="7"/>
  <c r="E131" i="7"/>
  <c r="E132" i="7" s="1"/>
  <c r="F34" i="13"/>
  <c r="F33" i="13"/>
  <c r="F30" i="13"/>
  <c r="F29" i="13"/>
  <c r="F26" i="13"/>
  <c r="F23" i="13"/>
  <c r="F24" i="13"/>
  <c r="H323" i="7" l="1"/>
  <c r="H351" i="7" s="1"/>
  <c r="F277" i="7"/>
  <c r="H208" i="7"/>
  <c r="H324" i="7"/>
  <c r="H338" i="7" s="1"/>
  <c r="H346" i="7" s="1"/>
  <c r="H538" i="7"/>
  <c r="G351" i="7"/>
  <c r="G324" i="7"/>
  <c r="G338" i="7" s="1"/>
  <c r="G346" i="7" s="1"/>
  <c r="H558" i="7"/>
  <c r="D557" i="7"/>
  <c r="D562" i="7" s="1"/>
  <c r="D565" i="7" s="1"/>
  <c r="I533" i="7"/>
  <c r="J531" i="7" s="1"/>
  <c r="G554" i="7"/>
  <c r="G549" i="7"/>
  <c r="I564" i="7"/>
  <c r="J552" i="7"/>
  <c r="E557" i="7"/>
  <c r="E562" i="7" s="1"/>
  <c r="E565" i="7" s="1"/>
  <c r="C565" i="7"/>
  <c r="D567" i="7"/>
  <c r="C563" i="7"/>
  <c r="C568" i="7" s="1"/>
  <c r="C567" i="7"/>
  <c r="F550" i="7"/>
  <c r="F551" i="7" s="1"/>
  <c r="H559" i="7"/>
  <c r="H545" i="7"/>
  <c r="H547" i="7" s="1"/>
  <c r="K555" i="7"/>
  <c r="L546" i="7"/>
  <c r="K544" i="7"/>
  <c r="H561" i="7"/>
  <c r="H534" i="7"/>
  <c r="H548" i="7" s="1"/>
  <c r="H556" i="7" s="1"/>
  <c r="I539" i="7"/>
  <c r="I540" i="7"/>
  <c r="J525" i="7"/>
  <c r="I537" i="7"/>
  <c r="J528" i="7"/>
  <c r="J485" i="7"/>
  <c r="J474" i="7"/>
  <c r="K476" i="7"/>
  <c r="K474" i="7" s="1"/>
  <c r="H463" i="7"/>
  <c r="I461" i="7" s="1"/>
  <c r="E480" i="7"/>
  <c r="E481" i="7" s="1"/>
  <c r="I494" i="7"/>
  <c r="J482" i="7"/>
  <c r="D487" i="7"/>
  <c r="D492" i="7" s="1"/>
  <c r="D495" i="7" s="1"/>
  <c r="F484" i="7"/>
  <c r="F479" i="7"/>
  <c r="H467" i="7"/>
  <c r="I458" i="7"/>
  <c r="G489" i="7"/>
  <c r="G475" i="7"/>
  <c r="G477" i="7" s="1"/>
  <c r="G488" i="7"/>
  <c r="H468" i="7"/>
  <c r="G491" i="7"/>
  <c r="G464" i="7"/>
  <c r="G478" i="7" s="1"/>
  <c r="G486" i="7" s="1"/>
  <c r="I469" i="7"/>
  <c r="I470" i="7"/>
  <c r="J455" i="7"/>
  <c r="C495" i="7"/>
  <c r="C493" i="7"/>
  <c r="C498" i="7" s="1"/>
  <c r="C497" i="7"/>
  <c r="I404" i="7"/>
  <c r="I398" i="7" s="1"/>
  <c r="J406" i="7"/>
  <c r="J415" i="7" s="1"/>
  <c r="J404" i="7"/>
  <c r="J345" i="7"/>
  <c r="K336" i="7"/>
  <c r="K334" i="7" s="1"/>
  <c r="J334" i="7"/>
  <c r="J328" i="7" s="1"/>
  <c r="F349" i="7"/>
  <c r="F335" i="7"/>
  <c r="F337" i="7" s="1"/>
  <c r="J354" i="7"/>
  <c r="K342" i="7"/>
  <c r="D340" i="7"/>
  <c r="D341" i="7" s="1"/>
  <c r="G327" i="7"/>
  <c r="H318" i="7"/>
  <c r="K330" i="7"/>
  <c r="L315" i="7"/>
  <c r="K329" i="7"/>
  <c r="E344" i="7"/>
  <c r="E339" i="7"/>
  <c r="L336" i="7"/>
  <c r="M336" i="7" s="1"/>
  <c r="C347" i="7"/>
  <c r="C352" i="7" s="1"/>
  <c r="F348" i="7"/>
  <c r="H265" i="7"/>
  <c r="H274" i="7" s="1"/>
  <c r="J602" i="7"/>
  <c r="K600" i="7" s="1"/>
  <c r="F618" i="7"/>
  <c r="F623" i="7"/>
  <c r="E619" i="7"/>
  <c r="E620" i="7"/>
  <c r="H388" i="7"/>
  <c r="G397" i="7"/>
  <c r="D626" i="7"/>
  <c r="D631" i="7" s="1"/>
  <c r="D634" i="7" s="1"/>
  <c r="C634" i="7"/>
  <c r="C632" i="7"/>
  <c r="C637" i="7" s="1"/>
  <c r="C636" i="7"/>
  <c r="I630" i="7"/>
  <c r="I603" i="7"/>
  <c r="I617" i="7" s="1"/>
  <c r="I625" i="7" s="1"/>
  <c r="I393" i="7"/>
  <c r="J391" i="7" s="1"/>
  <c r="K609" i="7"/>
  <c r="L594" i="7"/>
  <c r="K608" i="7"/>
  <c r="J633" i="7"/>
  <c r="K621" i="7"/>
  <c r="C417" i="7"/>
  <c r="C422" i="7" s="1"/>
  <c r="D620" i="7"/>
  <c r="E414" i="7"/>
  <c r="E409" i="7"/>
  <c r="F419" i="7"/>
  <c r="F405" i="7"/>
  <c r="F407" i="7" s="1"/>
  <c r="I424" i="7"/>
  <c r="J412" i="7"/>
  <c r="J615" i="7"/>
  <c r="J624" i="7" s="1"/>
  <c r="H421" i="7"/>
  <c r="H394" i="7"/>
  <c r="H408" i="7" s="1"/>
  <c r="H416" i="7" s="1"/>
  <c r="H606" i="7"/>
  <c r="I597" i="7"/>
  <c r="C411" i="7"/>
  <c r="J400" i="7"/>
  <c r="J399" i="7"/>
  <c r="K385" i="7"/>
  <c r="I624" i="7"/>
  <c r="G628" i="7"/>
  <c r="G614" i="7"/>
  <c r="G616" i="7" s="1"/>
  <c r="D410" i="7"/>
  <c r="D411" i="7" s="1"/>
  <c r="G274" i="7"/>
  <c r="G263" i="7"/>
  <c r="G257" i="7" s="1"/>
  <c r="E273" i="7"/>
  <c r="E268" i="7"/>
  <c r="J259" i="7"/>
  <c r="J258" i="7"/>
  <c r="K244" i="7"/>
  <c r="H252" i="7"/>
  <c r="I250" i="7" s="1"/>
  <c r="G256" i="7"/>
  <c r="H247" i="7"/>
  <c r="F278" i="7"/>
  <c r="F264" i="7"/>
  <c r="F266" i="7" s="1"/>
  <c r="J283" i="7"/>
  <c r="K271" i="7"/>
  <c r="C276" i="7"/>
  <c r="C281" i="7" s="1"/>
  <c r="D269" i="7"/>
  <c r="G204" i="7"/>
  <c r="H196" i="7"/>
  <c r="H194" i="7" s="1"/>
  <c r="H188" i="7" s="1"/>
  <c r="H195" i="7" s="1"/>
  <c r="H197" i="7" s="1"/>
  <c r="E200" i="7"/>
  <c r="E201" i="7" s="1"/>
  <c r="I187" i="7"/>
  <c r="J178" i="7"/>
  <c r="I190" i="7"/>
  <c r="I189" i="7"/>
  <c r="J175" i="7"/>
  <c r="G211" i="7"/>
  <c r="G184" i="7"/>
  <c r="G198" i="7" s="1"/>
  <c r="G206" i="7" s="1"/>
  <c r="D207" i="7"/>
  <c r="D212" i="7" s="1"/>
  <c r="D215" i="7" s="1"/>
  <c r="J214" i="7"/>
  <c r="K202" i="7"/>
  <c r="G205" i="7"/>
  <c r="C215" i="7"/>
  <c r="C213" i="7"/>
  <c r="C218" i="7" s="1"/>
  <c r="C217" i="7"/>
  <c r="H209" i="7"/>
  <c r="F204" i="7"/>
  <c r="F199" i="7"/>
  <c r="H181" i="7"/>
  <c r="G130" i="7"/>
  <c r="G135" i="7"/>
  <c r="H140" i="7"/>
  <c r="H126" i="7"/>
  <c r="H128" i="7" s="1"/>
  <c r="H139" i="7"/>
  <c r="F131" i="7"/>
  <c r="F132" i="7" s="1"/>
  <c r="I114" i="7"/>
  <c r="J112" i="7" s="1"/>
  <c r="I118" i="7"/>
  <c r="J109" i="7"/>
  <c r="I145" i="7"/>
  <c r="J133" i="7"/>
  <c r="I136" i="7"/>
  <c r="J125" i="7"/>
  <c r="I125" i="7"/>
  <c r="I119" i="7" s="1"/>
  <c r="K127" i="7"/>
  <c r="C146" i="7"/>
  <c r="C144" i="7"/>
  <c r="C149" i="7" s="1"/>
  <c r="C148" i="7"/>
  <c r="D138" i="7"/>
  <c r="H142" i="7"/>
  <c r="H115" i="7"/>
  <c r="H129" i="7" s="1"/>
  <c r="H137" i="7" s="1"/>
  <c r="J120" i="7"/>
  <c r="J121" i="7"/>
  <c r="K106" i="7"/>
  <c r="I139" i="7"/>
  <c r="W33" i="14"/>
  <c r="U33" i="14"/>
  <c r="S33" i="14"/>
  <c r="Q33" i="14"/>
  <c r="O33" i="14"/>
  <c r="Y32" i="14"/>
  <c r="L32" i="14"/>
  <c r="X32" i="14" s="1"/>
  <c r="K32" i="14"/>
  <c r="J32" i="14"/>
  <c r="V32" i="14" s="1"/>
  <c r="I32" i="14"/>
  <c r="H32" i="14"/>
  <c r="T32" i="14" s="1"/>
  <c r="G32" i="14"/>
  <c r="F32" i="14"/>
  <c r="R32" i="14" s="1"/>
  <c r="E32" i="14"/>
  <c r="D32" i="14"/>
  <c r="N32" i="14" s="1"/>
  <c r="C32" i="14"/>
  <c r="Y31" i="14"/>
  <c r="L31" i="14"/>
  <c r="K31" i="14"/>
  <c r="J31" i="14"/>
  <c r="J33" i="14" s="1"/>
  <c r="I31" i="14"/>
  <c r="H31" i="14"/>
  <c r="G31" i="14"/>
  <c r="F31" i="14"/>
  <c r="E31" i="14"/>
  <c r="D31" i="14"/>
  <c r="C31" i="14"/>
  <c r="W29" i="14"/>
  <c r="U29" i="14"/>
  <c r="S29" i="14"/>
  <c r="Q29" i="14"/>
  <c r="O29" i="14"/>
  <c r="Y28" i="14"/>
  <c r="L28" i="14"/>
  <c r="X28" i="14" s="1"/>
  <c r="K28" i="14"/>
  <c r="J28" i="14"/>
  <c r="V28" i="14" s="1"/>
  <c r="I28" i="14"/>
  <c r="H28" i="14"/>
  <c r="T28" i="14" s="1"/>
  <c r="G28" i="14"/>
  <c r="F28" i="14"/>
  <c r="R28" i="14" s="1"/>
  <c r="E28" i="14"/>
  <c r="D28" i="14"/>
  <c r="P28" i="14" s="1"/>
  <c r="C28" i="14"/>
  <c r="Y27" i="14"/>
  <c r="L27" i="14"/>
  <c r="K27" i="14"/>
  <c r="J27" i="14"/>
  <c r="I27" i="14"/>
  <c r="H27" i="14"/>
  <c r="G27" i="14"/>
  <c r="F27" i="14"/>
  <c r="E27" i="14"/>
  <c r="E29" i="14" s="1"/>
  <c r="D27" i="14"/>
  <c r="P27" i="14" s="1"/>
  <c r="C27" i="14"/>
  <c r="W25" i="14"/>
  <c r="W18" i="14" s="1"/>
  <c r="U25" i="14"/>
  <c r="U18" i="14" s="1"/>
  <c r="U17" i="14" s="1"/>
  <c r="S25" i="14"/>
  <c r="S18" i="14" s="1"/>
  <c r="S17" i="14" s="1"/>
  <c r="Q25" i="14"/>
  <c r="Q18" i="14" s="1"/>
  <c r="O25" i="14"/>
  <c r="O18" i="14" s="1"/>
  <c r="AA24" i="14"/>
  <c r="Y24" i="14"/>
  <c r="L24" i="14"/>
  <c r="X24" i="14" s="1"/>
  <c r="X25" i="14" s="1"/>
  <c r="K24" i="14"/>
  <c r="J24" i="14"/>
  <c r="I24" i="14"/>
  <c r="H24" i="14"/>
  <c r="T24" i="14" s="1"/>
  <c r="T25" i="14" s="1"/>
  <c r="G24" i="14"/>
  <c r="F24" i="14"/>
  <c r="E24" i="14"/>
  <c r="D24" i="14"/>
  <c r="P24" i="14" s="1"/>
  <c r="C24" i="14"/>
  <c r="M24" i="14" s="1"/>
  <c r="Z22" i="14"/>
  <c r="Y22" i="14"/>
  <c r="L22" i="14"/>
  <c r="K22" i="14"/>
  <c r="J22" i="14"/>
  <c r="I22" i="14"/>
  <c r="H22" i="14"/>
  <c r="G22" i="14"/>
  <c r="F22" i="14"/>
  <c r="E22" i="14"/>
  <c r="D22" i="14"/>
  <c r="C22" i="14"/>
  <c r="Z21" i="14"/>
  <c r="Y21" i="14"/>
  <c r="L21" i="14"/>
  <c r="K21" i="14"/>
  <c r="J21" i="14"/>
  <c r="I21" i="14"/>
  <c r="H21" i="14"/>
  <c r="G21" i="14"/>
  <c r="F21" i="14"/>
  <c r="E21" i="14"/>
  <c r="D21" i="14"/>
  <c r="C21" i="14"/>
  <c r="K615" i="7" l="1"/>
  <c r="K624" i="7" s="1"/>
  <c r="D636" i="7"/>
  <c r="I321" i="7"/>
  <c r="I323" i="7" s="1"/>
  <c r="J321" i="7" s="1"/>
  <c r="N22" i="14"/>
  <c r="I208" i="7"/>
  <c r="Y33" i="14"/>
  <c r="J29" i="14"/>
  <c r="L29" i="14"/>
  <c r="N21" i="14"/>
  <c r="M31" i="14"/>
  <c r="N31" i="14"/>
  <c r="N33" i="14" s="1"/>
  <c r="I468" i="7"/>
  <c r="G29" i="14"/>
  <c r="H29" i="14"/>
  <c r="I29" i="14"/>
  <c r="M28" i="14"/>
  <c r="F33" i="14"/>
  <c r="D563" i="7"/>
  <c r="E568" i="7" s="1"/>
  <c r="K29" i="14"/>
  <c r="E563" i="7"/>
  <c r="H488" i="7"/>
  <c r="C29" i="14"/>
  <c r="Y25" i="14"/>
  <c r="K613" i="7"/>
  <c r="K607" i="7" s="1"/>
  <c r="L615" i="7"/>
  <c r="L624" i="7" s="1"/>
  <c r="E626" i="7"/>
  <c r="E631" i="7" s="1"/>
  <c r="E632" i="7" s="1"/>
  <c r="E637" i="7" s="1"/>
  <c r="J613" i="7"/>
  <c r="J607" i="7" s="1"/>
  <c r="D632" i="7"/>
  <c r="D637" i="7" s="1"/>
  <c r="I538" i="7"/>
  <c r="I545" i="7" s="1"/>
  <c r="I547" i="7" s="1"/>
  <c r="J533" i="7"/>
  <c r="K531" i="7" s="1"/>
  <c r="K528" i="7"/>
  <c r="J537" i="7"/>
  <c r="D347" i="7"/>
  <c r="D352" i="7" s="1"/>
  <c r="D355" i="7" s="1"/>
  <c r="I559" i="7"/>
  <c r="I558" i="7"/>
  <c r="F557" i="7"/>
  <c r="F562" i="7" s="1"/>
  <c r="D566" i="7"/>
  <c r="C566" i="7"/>
  <c r="C569" i="7" s="1"/>
  <c r="E566" i="7"/>
  <c r="G550" i="7"/>
  <c r="J540" i="7"/>
  <c r="J539" i="7"/>
  <c r="K525" i="7"/>
  <c r="H554" i="7"/>
  <c r="H549" i="7"/>
  <c r="E567" i="7"/>
  <c r="J564" i="7"/>
  <c r="K552" i="7"/>
  <c r="L555" i="7"/>
  <c r="M546" i="7"/>
  <c r="L544" i="7"/>
  <c r="I561" i="7"/>
  <c r="I534" i="7"/>
  <c r="I548" i="7" s="1"/>
  <c r="I556" i="7" s="1"/>
  <c r="K485" i="7"/>
  <c r="L476" i="7"/>
  <c r="I463" i="7"/>
  <c r="J461" i="7" s="1"/>
  <c r="D493" i="7"/>
  <c r="D498" i="7" s="1"/>
  <c r="E487" i="7"/>
  <c r="E492" i="7" s="1"/>
  <c r="J494" i="7"/>
  <c r="K482" i="7"/>
  <c r="J469" i="7"/>
  <c r="J470" i="7"/>
  <c r="K455" i="7"/>
  <c r="J458" i="7"/>
  <c r="I467" i="7"/>
  <c r="I488" i="7" s="1"/>
  <c r="D497" i="7"/>
  <c r="G484" i="7"/>
  <c r="G479" i="7"/>
  <c r="H489" i="7"/>
  <c r="H475" i="7"/>
  <c r="H477" i="7" s="1"/>
  <c r="D496" i="7"/>
  <c r="C496" i="7"/>
  <c r="C499" i="7" s="1"/>
  <c r="F480" i="7"/>
  <c r="F481" i="7" s="1"/>
  <c r="H491" i="7"/>
  <c r="H464" i="7"/>
  <c r="H478" i="7" s="1"/>
  <c r="H486" i="7" s="1"/>
  <c r="K406" i="7"/>
  <c r="K415" i="7" s="1"/>
  <c r="J398" i="7"/>
  <c r="D417" i="7"/>
  <c r="D422" i="7" s="1"/>
  <c r="D425" i="7" s="1"/>
  <c r="M345" i="7"/>
  <c r="M334" i="7"/>
  <c r="J323" i="7"/>
  <c r="K321" i="7" s="1"/>
  <c r="C355" i="7"/>
  <c r="D357" i="7"/>
  <c r="C353" i="7"/>
  <c r="C358" i="7" s="1"/>
  <c r="C357" i="7"/>
  <c r="D353" i="7"/>
  <c r="D358" i="7" s="1"/>
  <c r="E340" i="7"/>
  <c r="N336" i="7"/>
  <c r="O336" i="7" s="1"/>
  <c r="O345" i="7" s="1"/>
  <c r="G348" i="7"/>
  <c r="K354" i="7"/>
  <c r="L342" i="7"/>
  <c r="L345" i="7"/>
  <c r="L334" i="7"/>
  <c r="K328" i="7"/>
  <c r="F344" i="7"/>
  <c r="F339" i="7"/>
  <c r="K345" i="7"/>
  <c r="L330" i="7"/>
  <c r="M315" i="7"/>
  <c r="L329" i="7"/>
  <c r="H327" i="7"/>
  <c r="I318" i="7"/>
  <c r="G349" i="7"/>
  <c r="G335" i="7"/>
  <c r="G337" i="7" s="1"/>
  <c r="I351" i="7"/>
  <c r="I324" i="7"/>
  <c r="I338" i="7" s="1"/>
  <c r="I346" i="7" s="1"/>
  <c r="I265" i="7"/>
  <c r="J265" i="7" s="1"/>
  <c r="J274" i="7" s="1"/>
  <c r="H263" i="7"/>
  <c r="H257" i="7" s="1"/>
  <c r="E634" i="7"/>
  <c r="E635" i="7" s="1"/>
  <c r="E636" i="7"/>
  <c r="G623" i="7"/>
  <c r="G618" i="7"/>
  <c r="I421" i="7"/>
  <c r="I394" i="7"/>
  <c r="I408" i="7" s="1"/>
  <c r="I416" i="7" s="1"/>
  <c r="J424" i="7"/>
  <c r="K412" i="7"/>
  <c r="K633" i="7"/>
  <c r="L621" i="7"/>
  <c r="L609" i="7"/>
  <c r="L608" i="7"/>
  <c r="M594" i="7"/>
  <c r="G419" i="7"/>
  <c r="G405" i="7"/>
  <c r="G407" i="7" s="1"/>
  <c r="G418" i="7"/>
  <c r="K602" i="7"/>
  <c r="L600" i="7"/>
  <c r="L613" i="7"/>
  <c r="M615" i="7"/>
  <c r="M613" i="7" s="1"/>
  <c r="K399" i="7"/>
  <c r="L385" i="7"/>
  <c r="K400" i="7"/>
  <c r="J597" i="7"/>
  <c r="I606" i="7"/>
  <c r="C425" i="7"/>
  <c r="C427" i="7"/>
  <c r="C423" i="7"/>
  <c r="C428" i="7" s="1"/>
  <c r="I388" i="7"/>
  <c r="H397" i="7"/>
  <c r="J630" i="7"/>
  <c r="J603" i="7"/>
  <c r="J617" i="7" s="1"/>
  <c r="J625" i="7" s="1"/>
  <c r="H628" i="7"/>
  <c r="H614" i="7"/>
  <c r="H616" i="7" s="1"/>
  <c r="H627" i="7"/>
  <c r="F414" i="7"/>
  <c r="F409" i="7"/>
  <c r="E410" i="7"/>
  <c r="E411" i="7" s="1"/>
  <c r="J393" i="7"/>
  <c r="K391" i="7" s="1"/>
  <c r="D635" i="7"/>
  <c r="C635" i="7"/>
  <c r="C638" i="7" s="1"/>
  <c r="F619" i="7"/>
  <c r="F620" i="7" s="1"/>
  <c r="I252" i="7"/>
  <c r="K283" i="7"/>
  <c r="L271" i="7"/>
  <c r="H280" i="7"/>
  <c r="H253" i="7"/>
  <c r="H267" i="7" s="1"/>
  <c r="H275" i="7" s="1"/>
  <c r="D270" i="7"/>
  <c r="D276" i="7"/>
  <c r="D281" i="7" s="1"/>
  <c r="D284" i="7" s="1"/>
  <c r="C284" i="7"/>
  <c r="C282" i="7"/>
  <c r="C287" i="7" s="1"/>
  <c r="C286" i="7"/>
  <c r="F273" i="7"/>
  <c r="F268" i="7"/>
  <c r="I247" i="7"/>
  <c r="H256" i="7"/>
  <c r="K259" i="7"/>
  <c r="L244" i="7"/>
  <c r="K258" i="7"/>
  <c r="E269" i="7"/>
  <c r="E270" i="7" s="1"/>
  <c r="G278" i="7"/>
  <c r="G264" i="7"/>
  <c r="G266" i="7" s="1"/>
  <c r="G277" i="7"/>
  <c r="D217" i="7"/>
  <c r="D213" i="7"/>
  <c r="D218" i="7" s="1"/>
  <c r="E207" i="7"/>
  <c r="E212" i="7" s="1"/>
  <c r="E215" i="7" s="1"/>
  <c r="E216" i="7" s="1"/>
  <c r="H204" i="7"/>
  <c r="K175" i="7"/>
  <c r="J189" i="7"/>
  <c r="J190" i="7"/>
  <c r="I209" i="7"/>
  <c r="I196" i="7"/>
  <c r="H183" i="7"/>
  <c r="I181" i="7" s="1"/>
  <c r="F200" i="7"/>
  <c r="D216" i="7"/>
  <c r="C216" i="7"/>
  <c r="C219" i="7" s="1"/>
  <c r="K214" i="7"/>
  <c r="L202" i="7"/>
  <c r="G199" i="7"/>
  <c r="J187" i="7"/>
  <c r="K178" i="7"/>
  <c r="H205" i="7"/>
  <c r="K120" i="7"/>
  <c r="K121" i="7"/>
  <c r="L106" i="7"/>
  <c r="C147" i="7"/>
  <c r="C150" i="7" s="1"/>
  <c r="K136" i="7"/>
  <c r="J145" i="7"/>
  <c r="K133" i="7"/>
  <c r="I140" i="7"/>
  <c r="I126" i="7"/>
  <c r="I128" i="7" s="1"/>
  <c r="I142" i="7"/>
  <c r="I115" i="7"/>
  <c r="I129" i="7" s="1"/>
  <c r="I137" i="7" s="1"/>
  <c r="D143" i="7"/>
  <c r="E138" i="7"/>
  <c r="E143" i="7" s="1"/>
  <c r="E146" i="7" s="1"/>
  <c r="J114" i="7"/>
  <c r="K112" i="7" s="1"/>
  <c r="J119" i="7"/>
  <c r="L127" i="7"/>
  <c r="L125" i="7" s="1"/>
  <c r="K125" i="7"/>
  <c r="H135" i="7"/>
  <c r="H130" i="7"/>
  <c r="J118" i="7"/>
  <c r="K109" i="7"/>
  <c r="G131" i="7"/>
  <c r="X27" i="14"/>
  <c r="X29" i="14" s="1"/>
  <c r="F25" i="14"/>
  <c r="J25" i="14"/>
  <c r="J18" i="14" s="1"/>
  <c r="J17" i="14" s="1"/>
  <c r="T27" i="14"/>
  <c r="T29" i="14" s="1"/>
  <c r="V31" i="14"/>
  <c r="V33" i="14" s="1"/>
  <c r="C33" i="14"/>
  <c r="E33" i="14"/>
  <c r="G33" i="14"/>
  <c r="I33" i="14"/>
  <c r="K33" i="14"/>
  <c r="P32" i="14"/>
  <c r="Z32" i="14" s="1"/>
  <c r="AA32" i="14"/>
  <c r="AA22" i="14"/>
  <c r="Y29" i="14"/>
  <c r="Y18" i="14" s="1"/>
  <c r="M22" i="14"/>
  <c r="R24" i="14"/>
  <c r="R25" i="14" s="1"/>
  <c r="D25" i="14"/>
  <c r="H25" i="14"/>
  <c r="L25" i="14"/>
  <c r="M27" i="14"/>
  <c r="Z28" i="14"/>
  <c r="AA28" i="14"/>
  <c r="M32" i="14"/>
  <c r="M33" i="14" s="1"/>
  <c r="C25" i="14"/>
  <c r="E25" i="14"/>
  <c r="G25" i="14"/>
  <c r="G18" i="14" s="1"/>
  <c r="G17" i="14" s="1"/>
  <c r="I25" i="14"/>
  <c r="K25" i="14"/>
  <c r="M21" i="14"/>
  <c r="N24" i="14"/>
  <c r="N25" i="14" s="1"/>
  <c r="V24" i="14"/>
  <c r="V25" i="14" s="1"/>
  <c r="P25" i="14"/>
  <c r="D29" i="14"/>
  <c r="F29" i="14"/>
  <c r="P29" i="14"/>
  <c r="N28" i="14"/>
  <c r="D33" i="14"/>
  <c r="P31" i="14"/>
  <c r="H33" i="14"/>
  <c r="T31" i="14"/>
  <c r="T33" i="14" s="1"/>
  <c r="T18" i="14" s="1"/>
  <c r="T17" i="14" s="1"/>
  <c r="L33" i="14"/>
  <c r="X31" i="14"/>
  <c r="X33" i="14" s="1"/>
  <c r="R31" i="14"/>
  <c r="R33" i="14" s="1"/>
  <c r="N27" i="14"/>
  <c r="R27" i="14"/>
  <c r="R29" i="14" s="1"/>
  <c r="V27" i="14"/>
  <c r="V29" i="14" s="1"/>
  <c r="K18" i="14" l="1"/>
  <c r="C18" i="14"/>
  <c r="I627" i="7"/>
  <c r="E18" i="14"/>
  <c r="M25" i="14"/>
  <c r="E569" i="7"/>
  <c r="J538" i="7"/>
  <c r="I18" i="14"/>
  <c r="I17" i="14" s="1"/>
  <c r="E638" i="7"/>
  <c r="L607" i="7"/>
  <c r="X18" i="14"/>
  <c r="D427" i="7"/>
  <c r="D568" i="7"/>
  <c r="F18" i="14"/>
  <c r="M29" i="14"/>
  <c r="J558" i="7"/>
  <c r="H348" i="7"/>
  <c r="K533" i="7"/>
  <c r="L531" i="7" s="1"/>
  <c r="K564" i="7"/>
  <c r="L552" i="7"/>
  <c r="K540" i="7"/>
  <c r="K539" i="7"/>
  <c r="L525" i="7"/>
  <c r="G551" i="7"/>
  <c r="D569" i="7"/>
  <c r="I554" i="7"/>
  <c r="I549" i="7"/>
  <c r="L528" i="7"/>
  <c r="K537" i="7"/>
  <c r="H550" i="7"/>
  <c r="H551" i="7" s="1"/>
  <c r="M555" i="7"/>
  <c r="N546" i="7"/>
  <c r="M544" i="7"/>
  <c r="G557" i="7"/>
  <c r="G562" i="7" s="1"/>
  <c r="F565" i="7"/>
  <c r="F563" i="7"/>
  <c r="F568" i="7" s="1"/>
  <c r="F567" i="7"/>
  <c r="J559" i="7"/>
  <c r="J545" i="7"/>
  <c r="J547" i="7" s="1"/>
  <c r="J561" i="7"/>
  <c r="J534" i="7"/>
  <c r="J548" i="7" s="1"/>
  <c r="J556" i="7" s="1"/>
  <c r="D499" i="7"/>
  <c r="L485" i="7"/>
  <c r="M476" i="7"/>
  <c r="L474" i="7"/>
  <c r="J463" i="7"/>
  <c r="K461" i="7" s="1"/>
  <c r="K470" i="7"/>
  <c r="K469" i="7"/>
  <c r="L455" i="7"/>
  <c r="E495" i="7"/>
  <c r="E497" i="7"/>
  <c r="E493" i="7"/>
  <c r="E498" i="7" s="1"/>
  <c r="G480" i="7"/>
  <c r="F487" i="7"/>
  <c r="F492" i="7" s="1"/>
  <c r="I489" i="7"/>
  <c r="I475" i="7"/>
  <c r="I477" i="7" s="1"/>
  <c r="J468" i="7"/>
  <c r="K494" i="7"/>
  <c r="L482" i="7"/>
  <c r="H479" i="7"/>
  <c r="H484" i="7"/>
  <c r="J467" i="7"/>
  <c r="K458" i="7"/>
  <c r="I491" i="7"/>
  <c r="I464" i="7"/>
  <c r="I478" i="7" s="1"/>
  <c r="I486" i="7" s="1"/>
  <c r="K404" i="7"/>
  <c r="K398" i="7" s="1"/>
  <c r="D423" i="7"/>
  <c r="L406" i="7"/>
  <c r="L404" i="7" s="1"/>
  <c r="E417" i="7"/>
  <c r="E422" i="7" s="1"/>
  <c r="E423" i="7" s="1"/>
  <c r="E428" i="7" s="1"/>
  <c r="K323" i="7"/>
  <c r="L321" i="7"/>
  <c r="L354" i="7"/>
  <c r="M342" i="7"/>
  <c r="N345" i="7"/>
  <c r="N334" i="7"/>
  <c r="L328" i="7"/>
  <c r="O334" i="7"/>
  <c r="E347" i="7"/>
  <c r="E352" i="7" s="1"/>
  <c r="D356" i="7"/>
  <c r="C356" i="7"/>
  <c r="C359" i="7" s="1"/>
  <c r="J318" i="7"/>
  <c r="I327" i="7"/>
  <c r="N315" i="7"/>
  <c r="M329" i="7"/>
  <c r="M330" i="7"/>
  <c r="P336" i="7"/>
  <c r="E341" i="7"/>
  <c r="G339" i="7"/>
  <c r="G344" i="7"/>
  <c r="H349" i="7"/>
  <c r="H335" i="7"/>
  <c r="H337" i="7" s="1"/>
  <c r="F340" i="7"/>
  <c r="F341" i="7" s="1"/>
  <c r="J351" i="7"/>
  <c r="J324" i="7"/>
  <c r="J338" i="7" s="1"/>
  <c r="J346" i="7" s="1"/>
  <c r="D282" i="7"/>
  <c r="D287" i="7" s="1"/>
  <c r="I274" i="7"/>
  <c r="K265" i="7"/>
  <c r="K263" i="7" s="1"/>
  <c r="K257" i="7" s="1"/>
  <c r="D286" i="7"/>
  <c r="J263" i="7"/>
  <c r="J257" i="7" s="1"/>
  <c r="I263" i="7"/>
  <c r="I257" i="7" s="1"/>
  <c r="E276" i="7"/>
  <c r="E281" i="7" s="1"/>
  <c r="E286" i="7" s="1"/>
  <c r="K393" i="7"/>
  <c r="L391" i="7" s="1"/>
  <c r="F626" i="7"/>
  <c r="F631" i="7" s="1"/>
  <c r="J421" i="7"/>
  <c r="J394" i="7"/>
  <c r="J408" i="7" s="1"/>
  <c r="J416" i="7" s="1"/>
  <c r="F410" i="7"/>
  <c r="F411" i="7" s="1"/>
  <c r="H623" i="7"/>
  <c r="H618" i="7"/>
  <c r="I397" i="7"/>
  <c r="J388" i="7"/>
  <c r="G414" i="7"/>
  <c r="G409" i="7"/>
  <c r="G619" i="7"/>
  <c r="G620" i="7" s="1"/>
  <c r="D428" i="7"/>
  <c r="L399" i="7"/>
  <c r="M385" i="7"/>
  <c r="L400" i="7"/>
  <c r="L602" i="7"/>
  <c r="M600" i="7" s="1"/>
  <c r="H418" i="7"/>
  <c r="L633" i="7"/>
  <c r="M621" i="7"/>
  <c r="D638" i="7"/>
  <c r="I628" i="7"/>
  <c r="I614" i="7"/>
  <c r="I616" i="7" s="1"/>
  <c r="K630" i="7"/>
  <c r="K603" i="7"/>
  <c r="K617" i="7" s="1"/>
  <c r="K625" i="7" s="1"/>
  <c r="M609" i="7"/>
  <c r="M608" i="7"/>
  <c r="N594" i="7"/>
  <c r="H419" i="7"/>
  <c r="H405" i="7"/>
  <c r="H407" i="7" s="1"/>
  <c r="C426" i="7"/>
  <c r="C429" i="7" s="1"/>
  <c r="D426" i="7"/>
  <c r="J606" i="7"/>
  <c r="K597" i="7"/>
  <c r="M624" i="7"/>
  <c r="N615" i="7"/>
  <c r="K424" i="7"/>
  <c r="L412" i="7"/>
  <c r="I256" i="7"/>
  <c r="I277" i="7" s="1"/>
  <c r="J247" i="7"/>
  <c r="L283" i="7"/>
  <c r="M271" i="7"/>
  <c r="I280" i="7"/>
  <c r="I253" i="7"/>
  <c r="I267" i="7" s="1"/>
  <c r="I275" i="7" s="1"/>
  <c r="L259" i="7"/>
  <c r="L258" i="7"/>
  <c r="M244" i="7"/>
  <c r="F269" i="7"/>
  <c r="G273" i="7"/>
  <c r="G268" i="7"/>
  <c r="H278" i="7"/>
  <c r="H264" i="7"/>
  <c r="H266" i="7" s="1"/>
  <c r="H277" i="7"/>
  <c r="D285" i="7"/>
  <c r="C285" i="7"/>
  <c r="C288" i="7" s="1"/>
  <c r="J250" i="7"/>
  <c r="E213" i="7"/>
  <c r="E218" i="7" s="1"/>
  <c r="E217" i="7"/>
  <c r="F207" i="7"/>
  <c r="F212" i="7" s="1"/>
  <c r="F215" i="7" s="1"/>
  <c r="E219" i="7"/>
  <c r="I183" i="7"/>
  <c r="J181" i="7" s="1"/>
  <c r="L178" i="7"/>
  <c r="K187" i="7"/>
  <c r="L214" i="7"/>
  <c r="M202" i="7"/>
  <c r="D219" i="7"/>
  <c r="H211" i="7"/>
  <c r="H184" i="7"/>
  <c r="H198" i="7" s="1"/>
  <c r="K190" i="7"/>
  <c r="K189" i="7"/>
  <c r="L175" i="7"/>
  <c r="J209" i="7"/>
  <c r="J208" i="7"/>
  <c r="G200" i="7"/>
  <c r="F201" i="7"/>
  <c r="I205" i="7"/>
  <c r="I194" i="7"/>
  <c r="I188" i="7" s="1"/>
  <c r="I195" i="7" s="1"/>
  <c r="I197" i="7" s="1"/>
  <c r="J196" i="7"/>
  <c r="K114" i="7"/>
  <c r="L112" i="7" s="1"/>
  <c r="G132" i="7"/>
  <c r="H131" i="7"/>
  <c r="H132" i="7" s="1"/>
  <c r="I135" i="7"/>
  <c r="I130" i="7"/>
  <c r="K118" i="7"/>
  <c r="L109" i="7"/>
  <c r="D146" i="7"/>
  <c r="D148" i="7"/>
  <c r="E148" i="7"/>
  <c r="D144" i="7"/>
  <c r="D149" i="7" s="1"/>
  <c r="E144" i="7"/>
  <c r="L121" i="7"/>
  <c r="M106" i="7"/>
  <c r="L120" i="7"/>
  <c r="J140" i="7"/>
  <c r="J126" i="7"/>
  <c r="J128" i="7" s="1"/>
  <c r="J139" i="7"/>
  <c r="L136" i="7"/>
  <c r="M127" i="7"/>
  <c r="M136" i="7" s="1"/>
  <c r="F138" i="7"/>
  <c r="F143" i="7" s="1"/>
  <c r="F146" i="7" s="1"/>
  <c r="K145" i="7"/>
  <c r="L133" i="7"/>
  <c r="J142" i="7"/>
  <c r="J115" i="7"/>
  <c r="J129" i="7" s="1"/>
  <c r="J137" i="7" s="1"/>
  <c r="K119" i="7"/>
  <c r="H18" i="14"/>
  <c r="H17" i="14" s="1"/>
  <c r="P33" i="14"/>
  <c r="P18" i="14" s="1"/>
  <c r="Z31" i="14"/>
  <c r="Z33" i="14" s="1"/>
  <c r="AA21" i="14"/>
  <c r="AA25" i="14" s="1"/>
  <c r="R18" i="14"/>
  <c r="N29" i="14"/>
  <c r="N18" i="14" s="1"/>
  <c r="AA31" i="14"/>
  <c r="AA33" i="14" s="1"/>
  <c r="Z27" i="14"/>
  <c r="Z29" i="14" s="1"/>
  <c r="V18" i="14"/>
  <c r="V17" i="14" s="1"/>
  <c r="M18" i="14"/>
  <c r="AA27" i="14"/>
  <c r="AA29" i="14" s="1"/>
  <c r="L18" i="14"/>
  <c r="D18" i="14"/>
  <c r="Z24" i="14"/>
  <c r="Z25" i="14" s="1"/>
  <c r="I348" i="7" l="1"/>
  <c r="M328" i="7"/>
  <c r="L398" i="7"/>
  <c r="I418" i="7"/>
  <c r="K538" i="7"/>
  <c r="L537" i="7"/>
  <c r="M528" i="7"/>
  <c r="L540" i="7"/>
  <c r="M525" i="7"/>
  <c r="L539" i="7"/>
  <c r="F566" i="7"/>
  <c r="F569" i="7" s="1"/>
  <c r="N555" i="7"/>
  <c r="O546" i="7"/>
  <c r="N544" i="7"/>
  <c r="I550" i="7"/>
  <c r="L533" i="7"/>
  <c r="M531" i="7" s="1"/>
  <c r="J554" i="7"/>
  <c r="J549" i="7"/>
  <c r="G565" i="7"/>
  <c r="G567" i="7"/>
  <c r="G563" i="7"/>
  <c r="G568" i="7" s="1"/>
  <c r="K561" i="7"/>
  <c r="K534" i="7"/>
  <c r="K548" i="7" s="1"/>
  <c r="K556" i="7" s="1"/>
  <c r="H557" i="7"/>
  <c r="H562" i="7" s="1"/>
  <c r="K559" i="7"/>
  <c r="K545" i="7"/>
  <c r="K547" i="7" s="1"/>
  <c r="K558" i="7"/>
  <c r="L558" i="7" s="1"/>
  <c r="L564" i="7"/>
  <c r="M552" i="7"/>
  <c r="N476" i="7"/>
  <c r="N485" i="7" s="1"/>
  <c r="M485" i="7"/>
  <c r="M474" i="7"/>
  <c r="K463" i="7"/>
  <c r="L461" i="7" s="1"/>
  <c r="J489" i="7"/>
  <c r="J475" i="7"/>
  <c r="J477" i="7" s="1"/>
  <c r="G481" i="7"/>
  <c r="J488" i="7"/>
  <c r="F495" i="7"/>
  <c r="G487" i="7"/>
  <c r="G492" i="7" s="1"/>
  <c r="E496" i="7"/>
  <c r="E499" i="7" s="1"/>
  <c r="L470" i="7"/>
  <c r="M455" i="7"/>
  <c r="L469" i="7"/>
  <c r="L468" i="7" s="1"/>
  <c r="H480" i="7"/>
  <c r="H481" i="7" s="1"/>
  <c r="L494" i="7"/>
  <c r="M482" i="7"/>
  <c r="I479" i="7"/>
  <c r="I484" i="7"/>
  <c r="F497" i="7"/>
  <c r="F493" i="7"/>
  <c r="F498" i="7" s="1"/>
  <c r="G497" i="7"/>
  <c r="K468" i="7"/>
  <c r="K467" i="7"/>
  <c r="K488" i="7" s="1"/>
  <c r="L458" i="7"/>
  <c r="J491" i="7"/>
  <c r="J464" i="7"/>
  <c r="J478" i="7" s="1"/>
  <c r="J486" i="7" s="1"/>
  <c r="M406" i="7"/>
  <c r="M415" i="7" s="1"/>
  <c r="L415" i="7"/>
  <c r="E425" i="7"/>
  <c r="E426" i="7" s="1"/>
  <c r="E429" i="7" s="1"/>
  <c r="F417" i="7"/>
  <c r="F422" i="7" s="1"/>
  <c r="F425" i="7" s="1"/>
  <c r="E427" i="7"/>
  <c r="D429" i="7"/>
  <c r="H339" i="7"/>
  <c r="H344" i="7"/>
  <c r="K351" i="7"/>
  <c r="K324" i="7"/>
  <c r="K338" i="7" s="1"/>
  <c r="K346" i="7" s="1"/>
  <c r="P345" i="7"/>
  <c r="Q336" i="7"/>
  <c r="P334" i="7"/>
  <c r="I349" i="7"/>
  <c r="I335" i="7"/>
  <c r="I337" i="7" s="1"/>
  <c r="D359" i="7"/>
  <c r="F347" i="7"/>
  <c r="F352" i="7" s="1"/>
  <c r="F355" i="7" s="1"/>
  <c r="N329" i="7"/>
  <c r="N330" i="7"/>
  <c r="O315" i="7"/>
  <c r="E355" i="7"/>
  <c r="E357" i="7"/>
  <c r="E353" i="7"/>
  <c r="E358" i="7" s="1"/>
  <c r="M354" i="7"/>
  <c r="N342" i="7"/>
  <c r="K318" i="7"/>
  <c r="J327" i="7"/>
  <c r="L323" i="7"/>
  <c r="M321" i="7" s="1"/>
  <c r="G340" i="7"/>
  <c r="G341" i="7" s="1"/>
  <c r="K274" i="7"/>
  <c r="L265" i="7"/>
  <c r="L274" i="7" s="1"/>
  <c r="E282" i="7"/>
  <c r="E287" i="7" s="1"/>
  <c r="F276" i="7"/>
  <c r="F281" i="7" s="1"/>
  <c r="F286" i="7" s="1"/>
  <c r="E284" i="7"/>
  <c r="E285" i="7" s="1"/>
  <c r="E288" i="7" s="1"/>
  <c r="K606" i="7"/>
  <c r="L597" i="7"/>
  <c r="M633" i="7"/>
  <c r="N621" i="7"/>
  <c r="L630" i="7"/>
  <c r="L603" i="7"/>
  <c r="L617" i="7" s="1"/>
  <c r="L625" i="7" s="1"/>
  <c r="H619" i="7"/>
  <c r="H620" i="7" s="1"/>
  <c r="J628" i="7"/>
  <c r="J614" i="7"/>
  <c r="J616" i="7" s="1"/>
  <c r="J627" i="7"/>
  <c r="N609" i="7"/>
  <c r="N608" i="7"/>
  <c r="O594" i="7"/>
  <c r="L393" i="7"/>
  <c r="M391" i="7" s="1"/>
  <c r="L424" i="7"/>
  <c r="M412" i="7"/>
  <c r="N624" i="7"/>
  <c r="N613" i="7"/>
  <c r="O615" i="7"/>
  <c r="M607" i="7"/>
  <c r="M400" i="7"/>
  <c r="M399" i="7"/>
  <c r="N385" i="7"/>
  <c r="G410" i="7"/>
  <c r="G411" i="7" s="1"/>
  <c r="J397" i="7"/>
  <c r="K388" i="7"/>
  <c r="F634" i="7"/>
  <c r="F632" i="7"/>
  <c r="F637" i="7" s="1"/>
  <c r="F636" i="7"/>
  <c r="K421" i="7"/>
  <c r="K394" i="7"/>
  <c r="K408" i="7" s="1"/>
  <c r="K416" i="7" s="1"/>
  <c r="H414" i="7"/>
  <c r="H409" i="7"/>
  <c r="I618" i="7"/>
  <c r="I623" i="7"/>
  <c r="M602" i="7"/>
  <c r="N600" i="7"/>
  <c r="I419" i="7"/>
  <c r="I405" i="7"/>
  <c r="I407" i="7" s="1"/>
  <c r="G626" i="7"/>
  <c r="G631" i="7" s="1"/>
  <c r="G634" i="7" s="1"/>
  <c r="F270" i="7"/>
  <c r="M283" i="7"/>
  <c r="N271" i="7"/>
  <c r="J252" i="7"/>
  <c r="K250" i="7" s="1"/>
  <c r="H268" i="7"/>
  <c r="H273" i="7"/>
  <c r="M259" i="7"/>
  <c r="M258" i="7"/>
  <c r="N244" i="7"/>
  <c r="J256" i="7"/>
  <c r="K247" i="7"/>
  <c r="D288" i="7"/>
  <c r="G269" i="7"/>
  <c r="I278" i="7"/>
  <c r="I264" i="7"/>
  <c r="I266" i="7" s="1"/>
  <c r="F213" i="7"/>
  <c r="F218" i="7" s="1"/>
  <c r="F217" i="7"/>
  <c r="K208" i="7"/>
  <c r="J183" i="7"/>
  <c r="K181" i="7" s="1"/>
  <c r="G207" i="7"/>
  <c r="G212" i="7" s="1"/>
  <c r="M214" i="7"/>
  <c r="N202" i="7"/>
  <c r="K209" i="7"/>
  <c r="J205" i="7"/>
  <c r="J194" i="7"/>
  <c r="J188" i="7" s="1"/>
  <c r="J195" i="7" s="1"/>
  <c r="J197" i="7" s="1"/>
  <c r="K196" i="7"/>
  <c r="M178" i="7"/>
  <c r="L187" i="7"/>
  <c r="I204" i="7"/>
  <c r="G201" i="7"/>
  <c r="L189" i="7"/>
  <c r="L190" i="7"/>
  <c r="M175" i="7"/>
  <c r="H206" i="7"/>
  <c r="H199" i="7"/>
  <c r="I211" i="7"/>
  <c r="I184" i="7"/>
  <c r="I198" i="7" s="1"/>
  <c r="I206" i="7" s="1"/>
  <c r="F216" i="7"/>
  <c r="F219" i="7" s="1"/>
  <c r="E149" i="7"/>
  <c r="L114" i="7"/>
  <c r="M112" i="7" s="1"/>
  <c r="L119" i="7"/>
  <c r="F148" i="7"/>
  <c r="I131" i="7"/>
  <c r="I132" i="7" s="1"/>
  <c r="N127" i="7"/>
  <c r="M121" i="7"/>
  <c r="M120" i="7"/>
  <c r="N106" i="7"/>
  <c r="F144" i="7"/>
  <c r="F149" i="7" s="1"/>
  <c r="E147" i="7"/>
  <c r="F147" i="7"/>
  <c r="D147" i="7"/>
  <c r="D150" i="7" s="1"/>
  <c r="J130" i="7"/>
  <c r="J135" i="7"/>
  <c r="L118" i="7"/>
  <c r="M109" i="7"/>
  <c r="K142" i="7"/>
  <c r="K115" i="7"/>
  <c r="K129" i="7" s="1"/>
  <c r="K137" i="7" s="1"/>
  <c r="L145" i="7"/>
  <c r="M133" i="7"/>
  <c r="M125" i="7"/>
  <c r="K126" i="7"/>
  <c r="K128" i="7" s="1"/>
  <c r="K140" i="7"/>
  <c r="K139" i="7"/>
  <c r="G138" i="7"/>
  <c r="G143" i="7" s="1"/>
  <c r="G146" i="7" s="1"/>
  <c r="Z18" i="14"/>
  <c r="AA18" i="14"/>
  <c r="H626" i="7" l="1"/>
  <c r="H631" i="7" s="1"/>
  <c r="H634" i="7" s="1"/>
  <c r="N406" i="7"/>
  <c r="L263" i="7"/>
  <c r="L257" i="7" s="1"/>
  <c r="M265" i="7"/>
  <c r="M263" i="7" s="1"/>
  <c r="M404" i="7"/>
  <c r="L538" i="7"/>
  <c r="L545" i="7" s="1"/>
  <c r="L547" i="7" s="1"/>
  <c r="O476" i="7"/>
  <c r="O485" i="7" s="1"/>
  <c r="N328" i="7"/>
  <c r="F423" i="7"/>
  <c r="F428" i="7" s="1"/>
  <c r="N607" i="7"/>
  <c r="L561" i="7"/>
  <c r="L534" i="7"/>
  <c r="L548" i="7" s="1"/>
  <c r="L556" i="7" s="1"/>
  <c r="O555" i="7"/>
  <c r="P546" i="7"/>
  <c r="O544" i="7"/>
  <c r="M564" i="7"/>
  <c r="N552" i="7"/>
  <c r="H565" i="7"/>
  <c r="H566" i="7" s="1"/>
  <c r="H567" i="7"/>
  <c r="H563" i="7"/>
  <c r="H568" i="7" s="1"/>
  <c r="J550" i="7"/>
  <c r="J551" i="7" s="1"/>
  <c r="I557" i="7"/>
  <c r="I562" i="7" s="1"/>
  <c r="G566" i="7"/>
  <c r="G569" i="7" s="1"/>
  <c r="I551" i="7"/>
  <c r="M539" i="7"/>
  <c r="M540" i="7"/>
  <c r="N525" i="7"/>
  <c r="M537" i="7"/>
  <c r="N528" i="7"/>
  <c r="K554" i="7"/>
  <c r="K549" i="7"/>
  <c r="M533" i="7"/>
  <c r="N531" i="7" s="1"/>
  <c r="L559" i="7"/>
  <c r="P476" i="7"/>
  <c r="P474" i="7" s="1"/>
  <c r="N474" i="7"/>
  <c r="O474" i="7"/>
  <c r="L463" i="7"/>
  <c r="M461" i="7"/>
  <c r="I480" i="7"/>
  <c r="I481" i="7" s="1"/>
  <c r="F496" i="7"/>
  <c r="F499" i="7" s="1"/>
  <c r="L467" i="7"/>
  <c r="M458" i="7"/>
  <c r="M494" i="7"/>
  <c r="N482" i="7"/>
  <c r="G495" i="7"/>
  <c r="H487" i="7"/>
  <c r="H492" i="7" s="1"/>
  <c r="G493" i="7"/>
  <c r="G498" i="7" s="1"/>
  <c r="K491" i="7"/>
  <c r="K464" i="7"/>
  <c r="K478" i="7" s="1"/>
  <c r="K486" i="7" s="1"/>
  <c r="K489" i="7"/>
  <c r="K475" i="7"/>
  <c r="K477" i="7" s="1"/>
  <c r="M469" i="7"/>
  <c r="M468" i="7" s="1"/>
  <c r="M470" i="7"/>
  <c r="N455" i="7"/>
  <c r="J479" i="7"/>
  <c r="J484" i="7"/>
  <c r="F427" i="7"/>
  <c r="G417" i="7"/>
  <c r="G422" i="7" s="1"/>
  <c r="G425" i="7" s="1"/>
  <c r="G426" i="7" s="1"/>
  <c r="N415" i="7"/>
  <c r="N404" i="7"/>
  <c r="O406" i="7"/>
  <c r="G347" i="7"/>
  <c r="G352" i="7" s="1"/>
  <c r="G355" i="7" s="1"/>
  <c r="G356" i="7" s="1"/>
  <c r="F357" i="7"/>
  <c r="F353" i="7"/>
  <c r="F358" i="7" s="1"/>
  <c r="N354" i="7"/>
  <c r="O342" i="7"/>
  <c r="E356" i="7"/>
  <c r="E359" i="7" s="1"/>
  <c r="F356" i="7"/>
  <c r="J349" i="7"/>
  <c r="J335" i="7"/>
  <c r="J337" i="7" s="1"/>
  <c r="J348" i="7"/>
  <c r="O330" i="7"/>
  <c r="O329" i="7"/>
  <c r="P315" i="7"/>
  <c r="Q345" i="7"/>
  <c r="Q334" i="7"/>
  <c r="R336" i="7"/>
  <c r="M323" i="7"/>
  <c r="N321" i="7" s="1"/>
  <c r="K327" i="7"/>
  <c r="L318" i="7"/>
  <c r="I344" i="7"/>
  <c r="I339" i="7"/>
  <c r="H340" i="7"/>
  <c r="H341" i="7" s="1"/>
  <c r="L351" i="7"/>
  <c r="L324" i="7"/>
  <c r="L338" i="7" s="1"/>
  <c r="L346" i="7" s="1"/>
  <c r="F284" i="7"/>
  <c r="F285" i="7" s="1"/>
  <c r="F288" i="7" s="1"/>
  <c r="M274" i="7"/>
  <c r="F282" i="7"/>
  <c r="F287" i="7" s="1"/>
  <c r="G276" i="7"/>
  <c r="G281" i="7" s="1"/>
  <c r="G284" i="7" s="1"/>
  <c r="G270" i="7"/>
  <c r="M393" i="7"/>
  <c r="N391" i="7" s="1"/>
  <c r="I619" i="7"/>
  <c r="I620" i="7" s="1"/>
  <c r="H632" i="7"/>
  <c r="G636" i="7"/>
  <c r="J419" i="7"/>
  <c r="J405" i="7"/>
  <c r="J407" i="7" s="1"/>
  <c r="J418" i="7"/>
  <c r="M398" i="7"/>
  <c r="M424" i="7"/>
  <c r="N412" i="7"/>
  <c r="N633" i="7"/>
  <c r="O621" i="7"/>
  <c r="G632" i="7"/>
  <c r="G637" i="7" s="1"/>
  <c r="O624" i="7"/>
  <c r="O613" i="7"/>
  <c r="P615" i="7"/>
  <c r="J618" i="7"/>
  <c r="J623" i="7"/>
  <c r="L606" i="7"/>
  <c r="M597" i="7"/>
  <c r="F426" i="7"/>
  <c r="F429" i="7" s="1"/>
  <c r="N602" i="7"/>
  <c r="O600" i="7" s="1"/>
  <c r="M630" i="7"/>
  <c r="M603" i="7"/>
  <c r="M617" i="7" s="1"/>
  <c r="M625" i="7" s="1"/>
  <c r="H410" i="7"/>
  <c r="H636" i="7"/>
  <c r="H635" i="7"/>
  <c r="F635" i="7"/>
  <c r="F638" i="7" s="1"/>
  <c r="G635" i="7"/>
  <c r="O609" i="7"/>
  <c r="P594" i="7"/>
  <c r="O608" i="7"/>
  <c r="K628" i="7"/>
  <c r="K614" i="7"/>
  <c r="K616" i="7" s="1"/>
  <c r="K627" i="7"/>
  <c r="I414" i="7"/>
  <c r="I409" i="7"/>
  <c r="K397" i="7"/>
  <c r="L388" i="7"/>
  <c r="N400" i="7"/>
  <c r="N399" i="7"/>
  <c r="O385" i="7"/>
  <c r="L421" i="7"/>
  <c r="L394" i="7"/>
  <c r="L408" i="7" s="1"/>
  <c r="L416" i="7" s="1"/>
  <c r="M119" i="7"/>
  <c r="N259" i="7"/>
  <c r="N258" i="7"/>
  <c r="O244" i="7"/>
  <c r="I273" i="7"/>
  <c r="I268" i="7"/>
  <c r="M257" i="7"/>
  <c r="J280" i="7"/>
  <c r="J253" i="7"/>
  <c r="J267" i="7" s="1"/>
  <c r="J275" i="7" s="1"/>
  <c r="N283" i="7"/>
  <c r="O271" i="7"/>
  <c r="J278" i="7"/>
  <c r="J264" i="7"/>
  <c r="J266" i="7" s="1"/>
  <c r="J277" i="7"/>
  <c r="K256" i="7"/>
  <c r="L247" i="7"/>
  <c r="H269" i="7"/>
  <c r="K252" i="7"/>
  <c r="L250" i="7" s="1"/>
  <c r="K183" i="7"/>
  <c r="L181" i="7" s="1"/>
  <c r="H200" i="7"/>
  <c r="H201" i="7" s="1"/>
  <c r="M187" i="7"/>
  <c r="N178" i="7"/>
  <c r="K205" i="7"/>
  <c r="K194" i="7"/>
  <c r="K188" i="7" s="1"/>
  <c r="K195" i="7" s="1"/>
  <c r="K197" i="7" s="1"/>
  <c r="L196" i="7"/>
  <c r="M190" i="7"/>
  <c r="M189" i="7"/>
  <c r="N175" i="7"/>
  <c r="I199" i="7"/>
  <c r="J204" i="7"/>
  <c r="N214" i="7"/>
  <c r="O202" i="7"/>
  <c r="G215" i="7"/>
  <c r="G217" i="7"/>
  <c r="G213" i="7"/>
  <c r="G218" i="7" s="1"/>
  <c r="L209" i="7"/>
  <c r="L208" i="7"/>
  <c r="J211" i="7"/>
  <c r="J184" i="7"/>
  <c r="J198" i="7" s="1"/>
  <c r="J206" i="7" s="1"/>
  <c r="E150" i="7"/>
  <c r="G148" i="7"/>
  <c r="M145" i="7"/>
  <c r="N133" i="7"/>
  <c r="M118" i="7"/>
  <c r="N109" i="7"/>
  <c r="N136" i="7"/>
  <c r="O127" i="7"/>
  <c r="N125" i="7"/>
  <c r="L140" i="7"/>
  <c r="L126" i="7"/>
  <c r="L128" i="7" s="1"/>
  <c r="L139" i="7"/>
  <c r="J131" i="7"/>
  <c r="J132" i="7" s="1"/>
  <c r="G147" i="7"/>
  <c r="G150" i="7" s="1"/>
  <c r="F150" i="7"/>
  <c r="G144" i="7"/>
  <c r="G149" i="7" s="1"/>
  <c r="N120" i="7"/>
  <c r="N121" i="7"/>
  <c r="O106" i="7"/>
  <c r="H138" i="7"/>
  <c r="H143" i="7" s="1"/>
  <c r="L142" i="7"/>
  <c r="L115" i="7"/>
  <c r="L129" i="7" s="1"/>
  <c r="L137" i="7" s="1"/>
  <c r="K130" i="7"/>
  <c r="K135" i="7"/>
  <c r="U39" i="13"/>
  <c r="U36" i="13" s="1"/>
  <c r="T39" i="13"/>
  <c r="T36" i="13" s="1"/>
  <c r="S39" i="13"/>
  <c r="R39" i="13"/>
  <c r="M39" i="13"/>
  <c r="L39" i="13"/>
  <c r="L36" i="13" s="1"/>
  <c r="S36" i="13"/>
  <c r="R36" i="13"/>
  <c r="M36" i="13"/>
  <c r="C22" i="4"/>
  <c r="D22" i="4"/>
  <c r="E22" i="4"/>
  <c r="F22" i="4"/>
  <c r="G22" i="4"/>
  <c r="H22" i="4"/>
  <c r="I22" i="4"/>
  <c r="J22" i="4"/>
  <c r="K22" i="4"/>
  <c r="L22" i="4"/>
  <c r="L21" i="4"/>
  <c r="J21" i="4"/>
  <c r="H21" i="4"/>
  <c r="F21" i="4"/>
  <c r="D21" i="4"/>
  <c r="K21" i="4"/>
  <c r="I21" i="4"/>
  <c r="G21" i="4"/>
  <c r="E21" i="4"/>
  <c r="C21" i="4"/>
  <c r="W33" i="4"/>
  <c r="U33" i="4"/>
  <c r="S33" i="4"/>
  <c r="Q33" i="4"/>
  <c r="O33" i="4"/>
  <c r="Y32" i="4"/>
  <c r="Y31" i="4"/>
  <c r="Y33" i="4" s="1"/>
  <c r="W29" i="4"/>
  <c r="U29" i="4"/>
  <c r="S29" i="4"/>
  <c r="Q29" i="4"/>
  <c r="O29" i="4"/>
  <c r="Y28" i="4"/>
  <c r="Y27" i="4"/>
  <c r="Y29" i="4" s="1"/>
  <c r="W25" i="4"/>
  <c r="U25" i="4"/>
  <c r="U18" i="4" s="1"/>
  <c r="U17" i="4" s="1"/>
  <c r="S25" i="4"/>
  <c r="Q25" i="4"/>
  <c r="O25" i="4"/>
  <c r="Y24" i="4"/>
  <c r="Y22" i="4"/>
  <c r="Z22" i="4"/>
  <c r="Y21" i="4"/>
  <c r="B32" i="14"/>
  <c r="A32" i="14"/>
  <c r="B31" i="14"/>
  <c r="A31" i="14"/>
  <c r="B30" i="14"/>
  <c r="A30" i="14"/>
  <c r="B28" i="14"/>
  <c r="A28" i="14"/>
  <c r="B27" i="14"/>
  <c r="A27" i="14"/>
  <c r="B26" i="14"/>
  <c r="A26" i="14"/>
  <c r="B25" i="14"/>
  <c r="B24" i="14"/>
  <c r="A24" i="14"/>
  <c r="B23" i="14"/>
  <c r="A23" i="14"/>
  <c r="B22" i="14"/>
  <c r="A22" i="14"/>
  <c r="B21" i="14"/>
  <c r="A21" i="14"/>
  <c r="B20" i="14"/>
  <c r="E39" i="13"/>
  <c r="E36" i="13" s="1"/>
  <c r="D39" i="13"/>
  <c r="D36" i="13" s="1"/>
  <c r="E31" i="13"/>
  <c r="D31" i="13"/>
  <c r="E27" i="13"/>
  <c r="D27" i="13"/>
  <c r="D20" i="13" s="1"/>
  <c r="AB39" i="13"/>
  <c r="X39" i="13"/>
  <c r="W39" i="13"/>
  <c r="V39" i="13"/>
  <c r="K39" i="13"/>
  <c r="J39" i="13"/>
  <c r="I39" i="13"/>
  <c r="AC36" i="13"/>
  <c r="AB36" i="13"/>
  <c r="AB19" i="13" s="1"/>
  <c r="X36" i="13"/>
  <c r="X19" i="13" s="1"/>
  <c r="W36" i="13"/>
  <c r="V36" i="13"/>
  <c r="K36" i="13"/>
  <c r="J36" i="13"/>
  <c r="A37" i="13"/>
  <c r="B37" i="13"/>
  <c r="A38" i="13"/>
  <c r="B38" i="13"/>
  <c r="B39" i="13"/>
  <c r="B36" i="13"/>
  <c r="A36" i="13"/>
  <c r="C32" i="4"/>
  <c r="D32" i="4"/>
  <c r="P32" i="4" s="1"/>
  <c r="E32" i="4"/>
  <c r="F32" i="4"/>
  <c r="R32" i="4" s="1"/>
  <c r="G32" i="4"/>
  <c r="H32" i="4"/>
  <c r="T32" i="4" s="1"/>
  <c r="I32" i="4"/>
  <c r="J32" i="4"/>
  <c r="V32" i="4" s="1"/>
  <c r="K32" i="4"/>
  <c r="L32" i="4"/>
  <c r="X32" i="4" s="1"/>
  <c r="L31" i="4"/>
  <c r="X31" i="4" s="1"/>
  <c r="K31" i="4"/>
  <c r="J31" i="4"/>
  <c r="V31" i="4" s="1"/>
  <c r="I31" i="4"/>
  <c r="H31" i="4"/>
  <c r="T31" i="4" s="1"/>
  <c r="G31" i="4"/>
  <c r="F31" i="4"/>
  <c r="R31" i="4" s="1"/>
  <c r="E31" i="4"/>
  <c r="D31" i="4"/>
  <c r="C31" i="4"/>
  <c r="C28" i="4"/>
  <c r="D28" i="4"/>
  <c r="P28" i="4" s="1"/>
  <c r="E28" i="4"/>
  <c r="F28" i="4"/>
  <c r="R28" i="4" s="1"/>
  <c r="G28" i="4"/>
  <c r="H28" i="4"/>
  <c r="T28" i="4" s="1"/>
  <c r="I28" i="4"/>
  <c r="J28" i="4"/>
  <c r="V28" i="4" s="1"/>
  <c r="K28" i="4"/>
  <c r="L28" i="4"/>
  <c r="X28" i="4" s="1"/>
  <c r="L27" i="4"/>
  <c r="X27" i="4" s="1"/>
  <c r="K27" i="4"/>
  <c r="J27" i="4"/>
  <c r="V27" i="4" s="1"/>
  <c r="I27" i="4"/>
  <c r="H27" i="4"/>
  <c r="T27" i="4" s="1"/>
  <c r="G27" i="4"/>
  <c r="F27" i="4"/>
  <c r="R27" i="4" s="1"/>
  <c r="E27" i="4"/>
  <c r="D27" i="4"/>
  <c r="C27" i="4"/>
  <c r="C24" i="4"/>
  <c r="D24" i="4"/>
  <c r="P24" i="4" s="1"/>
  <c r="E24" i="4"/>
  <c r="F24" i="4"/>
  <c r="R24" i="4" s="1"/>
  <c r="R25" i="4" s="1"/>
  <c r="G24" i="4"/>
  <c r="H24" i="4"/>
  <c r="T24" i="4" s="1"/>
  <c r="I24" i="4"/>
  <c r="J24" i="4"/>
  <c r="V24" i="4" s="1"/>
  <c r="V25" i="4" s="1"/>
  <c r="K24" i="4"/>
  <c r="L24" i="4"/>
  <c r="X24" i="4" s="1"/>
  <c r="M22" i="4"/>
  <c r="N22" i="4"/>
  <c r="M24" i="4"/>
  <c r="M31" i="4" l="1"/>
  <c r="M28" i="4"/>
  <c r="S18" i="4"/>
  <c r="S17" i="4" s="1"/>
  <c r="N265" i="7"/>
  <c r="N31" i="4"/>
  <c r="O18" i="4"/>
  <c r="W18" i="4"/>
  <c r="Q18" i="4"/>
  <c r="O328" i="7"/>
  <c r="M32" i="4"/>
  <c r="N28" i="4"/>
  <c r="H638" i="7"/>
  <c r="E20" i="13"/>
  <c r="E19" i="13" s="1"/>
  <c r="Y25" i="4"/>
  <c r="Y18" i="4" s="1"/>
  <c r="M27" i="4"/>
  <c r="N32" i="4"/>
  <c r="N27" i="4"/>
  <c r="N398" i="7"/>
  <c r="H569" i="7"/>
  <c r="J557" i="7"/>
  <c r="J562" i="7" s="1"/>
  <c r="J565" i="7" s="1"/>
  <c r="L554" i="7"/>
  <c r="L549" i="7"/>
  <c r="M561" i="7"/>
  <c r="M534" i="7"/>
  <c r="M548" i="7" s="1"/>
  <c r="M556" i="7" s="1"/>
  <c r="O528" i="7"/>
  <c r="N537" i="7"/>
  <c r="M538" i="7"/>
  <c r="M545" i="7" s="1"/>
  <c r="M547" i="7" s="1"/>
  <c r="P555" i="7"/>
  <c r="P544" i="7"/>
  <c r="Q546" i="7"/>
  <c r="K550" i="7"/>
  <c r="M559" i="7"/>
  <c r="M558" i="7"/>
  <c r="N540" i="7"/>
  <c r="N539" i="7"/>
  <c r="O525" i="7"/>
  <c r="I565" i="7"/>
  <c r="I563" i="7"/>
  <c r="I568" i="7" s="1"/>
  <c r="N564" i="7"/>
  <c r="O552" i="7"/>
  <c r="I567" i="7"/>
  <c r="N533" i="7"/>
  <c r="O531" i="7"/>
  <c r="Q476" i="7"/>
  <c r="R476" i="7" s="1"/>
  <c r="R485" i="7" s="1"/>
  <c r="P485" i="7"/>
  <c r="H495" i="7"/>
  <c r="H496" i="7" s="1"/>
  <c r="F359" i="7"/>
  <c r="H497" i="7"/>
  <c r="H493" i="7"/>
  <c r="H498" i="7" s="1"/>
  <c r="N458" i="7"/>
  <c r="M467" i="7"/>
  <c r="I487" i="7"/>
  <c r="I492" i="7" s="1"/>
  <c r="G496" i="7"/>
  <c r="G499" i="7" s="1"/>
  <c r="M463" i="7"/>
  <c r="N461" i="7" s="1"/>
  <c r="N469" i="7"/>
  <c r="N470" i="7"/>
  <c r="O455" i="7"/>
  <c r="L475" i="7"/>
  <c r="L477" i="7" s="1"/>
  <c r="L489" i="7"/>
  <c r="L488" i="7"/>
  <c r="J480" i="7"/>
  <c r="K484" i="7"/>
  <c r="K479" i="7"/>
  <c r="N494" i="7"/>
  <c r="O482" i="7"/>
  <c r="L491" i="7"/>
  <c r="L464" i="7"/>
  <c r="L478" i="7" s="1"/>
  <c r="L486" i="7" s="1"/>
  <c r="G427" i="7"/>
  <c r="G423" i="7"/>
  <c r="G428" i="7" s="1"/>
  <c r="O415" i="7"/>
  <c r="P406" i="7"/>
  <c r="O404" i="7"/>
  <c r="G359" i="7"/>
  <c r="G353" i="7"/>
  <c r="G358" i="7" s="1"/>
  <c r="G357" i="7"/>
  <c r="N323" i="7"/>
  <c r="O321" i="7" s="1"/>
  <c r="K349" i="7"/>
  <c r="K335" i="7"/>
  <c r="K337" i="7" s="1"/>
  <c r="K348" i="7"/>
  <c r="R345" i="7"/>
  <c r="S336" i="7"/>
  <c r="R334" i="7"/>
  <c r="O354" i="7"/>
  <c r="P342" i="7"/>
  <c r="P330" i="7"/>
  <c r="Q315" i="7"/>
  <c r="P329" i="7"/>
  <c r="P328" i="7" s="1"/>
  <c r="J344" i="7"/>
  <c r="J339" i="7"/>
  <c r="H347" i="7"/>
  <c r="H352" i="7" s="1"/>
  <c r="M351" i="7"/>
  <c r="M324" i="7"/>
  <c r="M338" i="7" s="1"/>
  <c r="M346" i="7" s="1"/>
  <c r="I340" i="7"/>
  <c r="L327" i="7"/>
  <c r="M318" i="7"/>
  <c r="G285" i="7"/>
  <c r="G288" i="7" s="1"/>
  <c r="G286" i="7"/>
  <c r="G282" i="7"/>
  <c r="G287" i="7" s="1"/>
  <c r="N393" i="7"/>
  <c r="O391" i="7" s="1"/>
  <c r="I410" i="7"/>
  <c r="I411" i="7" s="1"/>
  <c r="N630" i="7"/>
  <c r="N603" i="7"/>
  <c r="N617" i="7" s="1"/>
  <c r="N625" i="7" s="1"/>
  <c r="L628" i="7"/>
  <c r="L614" i="7"/>
  <c r="L616" i="7" s="1"/>
  <c r="L627" i="7"/>
  <c r="J414" i="7"/>
  <c r="J409" i="7"/>
  <c r="P608" i="7"/>
  <c r="P609" i="7"/>
  <c r="Q594" i="7"/>
  <c r="L397" i="7"/>
  <c r="M388" i="7"/>
  <c r="H417" i="7"/>
  <c r="H422" i="7" s="1"/>
  <c r="G429" i="7"/>
  <c r="O633" i="7"/>
  <c r="P621" i="7"/>
  <c r="N424" i="7"/>
  <c r="O412" i="7"/>
  <c r="I626" i="7"/>
  <c r="I631" i="7" s="1"/>
  <c r="O399" i="7"/>
  <c r="O400" i="7"/>
  <c r="P385" i="7"/>
  <c r="K419" i="7"/>
  <c r="K405" i="7"/>
  <c r="K407" i="7" s="1"/>
  <c r="K418" i="7"/>
  <c r="O607" i="7"/>
  <c r="G638" i="7"/>
  <c r="H411" i="7"/>
  <c r="J619" i="7"/>
  <c r="K623" i="7"/>
  <c r="K618" i="7"/>
  <c r="O602" i="7"/>
  <c r="P600" i="7" s="1"/>
  <c r="N597" i="7"/>
  <c r="M606" i="7"/>
  <c r="P624" i="7"/>
  <c r="P613" i="7"/>
  <c r="Q615" i="7"/>
  <c r="H637" i="7"/>
  <c r="M421" i="7"/>
  <c r="M394" i="7"/>
  <c r="M408" i="7" s="1"/>
  <c r="M416" i="7" s="1"/>
  <c r="L252" i="7"/>
  <c r="M250" i="7" s="1"/>
  <c r="J273" i="7"/>
  <c r="J268" i="7"/>
  <c r="K280" i="7"/>
  <c r="K253" i="7"/>
  <c r="K267" i="7" s="1"/>
  <c r="K275" i="7" s="1"/>
  <c r="M247" i="7"/>
  <c r="L256" i="7"/>
  <c r="K278" i="7"/>
  <c r="K264" i="7"/>
  <c r="K266" i="7" s="1"/>
  <c r="K277" i="7"/>
  <c r="O283" i="7"/>
  <c r="P271" i="7"/>
  <c r="I269" i="7"/>
  <c r="O259" i="7"/>
  <c r="P244" i="7"/>
  <c r="O258" i="7"/>
  <c r="H270" i="7"/>
  <c r="H276" i="7"/>
  <c r="H281" i="7" s="1"/>
  <c r="L183" i="7"/>
  <c r="M181" i="7" s="1"/>
  <c r="J199" i="7"/>
  <c r="K204" i="7"/>
  <c r="H207" i="7"/>
  <c r="H212" i="7" s="1"/>
  <c r="G216" i="7"/>
  <c r="G219" i="7" s="1"/>
  <c r="O214" i="7"/>
  <c r="P202" i="7"/>
  <c r="I200" i="7"/>
  <c r="N187" i="7"/>
  <c r="O178" i="7"/>
  <c r="N190" i="7"/>
  <c r="O175" i="7"/>
  <c r="N189" i="7"/>
  <c r="L205" i="7"/>
  <c r="L194" i="7"/>
  <c r="L188" i="7" s="1"/>
  <c r="L195" i="7" s="1"/>
  <c r="L197" i="7" s="1"/>
  <c r="M196" i="7"/>
  <c r="M209" i="7"/>
  <c r="M208" i="7"/>
  <c r="K211" i="7"/>
  <c r="K184" i="7"/>
  <c r="K198" i="7" s="1"/>
  <c r="K206" i="7" s="1"/>
  <c r="H146" i="7"/>
  <c r="O120" i="7"/>
  <c r="O121" i="7"/>
  <c r="P106" i="7"/>
  <c r="N118" i="7"/>
  <c r="O109" i="7"/>
  <c r="M114" i="7"/>
  <c r="N112" i="7" s="1"/>
  <c r="K131" i="7"/>
  <c r="K132" i="7" s="1"/>
  <c r="M140" i="7"/>
  <c r="M126" i="7"/>
  <c r="M128" i="7" s="1"/>
  <c r="M139" i="7"/>
  <c r="L135" i="7"/>
  <c r="L130" i="7"/>
  <c r="I138" i="7"/>
  <c r="I143" i="7" s="1"/>
  <c r="H148" i="7"/>
  <c r="N119" i="7"/>
  <c r="O136" i="7"/>
  <c r="P127" i="7"/>
  <c r="O125" i="7"/>
  <c r="N145" i="7"/>
  <c r="O133" i="7"/>
  <c r="H144" i="7"/>
  <c r="H149" i="7" s="1"/>
  <c r="I36" i="13"/>
  <c r="AC39" i="13"/>
  <c r="N24" i="4"/>
  <c r="Z28" i="4"/>
  <c r="Z32" i="4"/>
  <c r="R29" i="4"/>
  <c r="T29" i="4"/>
  <c r="V29" i="4"/>
  <c r="X29" i="4"/>
  <c r="R33" i="4"/>
  <c r="T33" i="4"/>
  <c r="V33" i="4"/>
  <c r="X33" i="4"/>
  <c r="P31" i="4"/>
  <c r="P33" i="4" s="1"/>
  <c r="P27" i="4"/>
  <c r="P29" i="4" s="1"/>
  <c r="D19" i="13"/>
  <c r="K27" i="13"/>
  <c r="Z24" i="4"/>
  <c r="P25" i="4"/>
  <c r="T25" i="4"/>
  <c r="X25" i="4"/>
  <c r="Z21" i="4"/>
  <c r="Z25" i="4" s="1"/>
  <c r="J567" i="7" l="1"/>
  <c r="J563" i="7"/>
  <c r="Z27" i="4"/>
  <c r="Z29" i="4" s="1"/>
  <c r="Q474" i="7"/>
  <c r="O265" i="7"/>
  <c r="N274" i="7"/>
  <c r="N263" i="7"/>
  <c r="N257" i="7" s="1"/>
  <c r="T18" i="4"/>
  <c r="T17" i="4" s="1"/>
  <c r="Z31" i="4"/>
  <c r="Z33" i="4" s="1"/>
  <c r="P18" i="4"/>
  <c r="X18" i="4"/>
  <c r="J626" i="7"/>
  <c r="J631" i="7" s="1"/>
  <c r="J632" i="7" s="1"/>
  <c r="N538" i="7"/>
  <c r="N545" i="7" s="1"/>
  <c r="N547" i="7" s="1"/>
  <c r="N559" i="7"/>
  <c r="N558" i="7"/>
  <c r="J568" i="7"/>
  <c r="I566" i="7"/>
  <c r="I569" i="7" s="1"/>
  <c r="Q555" i="7"/>
  <c r="Q544" i="7"/>
  <c r="R546" i="7"/>
  <c r="J566" i="7"/>
  <c r="P528" i="7"/>
  <c r="O537" i="7"/>
  <c r="L550" i="7"/>
  <c r="O533" i="7"/>
  <c r="P531" i="7" s="1"/>
  <c r="N561" i="7"/>
  <c r="N534" i="7"/>
  <c r="N548" i="7" s="1"/>
  <c r="N556" i="7" s="1"/>
  <c r="O564" i="7"/>
  <c r="P552" i="7"/>
  <c r="M554" i="7"/>
  <c r="M549" i="7"/>
  <c r="K557" i="7"/>
  <c r="K562" i="7" s="1"/>
  <c r="O540" i="7"/>
  <c r="O539" i="7"/>
  <c r="P525" i="7"/>
  <c r="K551" i="7"/>
  <c r="J487" i="7"/>
  <c r="J492" i="7" s="1"/>
  <c r="J493" i="7" s="1"/>
  <c r="R474" i="7"/>
  <c r="H499" i="7"/>
  <c r="Q485" i="7"/>
  <c r="S476" i="7"/>
  <c r="S485" i="7" s="1"/>
  <c r="N463" i="7"/>
  <c r="O461" i="7" s="1"/>
  <c r="O494" i="7"/>
  <c r="P482" i="7"/>
  <c r="N468" i="7"/>
  <c r="M489" i="7"/>
  <c r="M475" i="7"/>
  <c r="M477" i="7" s="1"/>
  <c r="M488" i="7"/>
  <c r="J481" i="7"/>
  <c r="L479" i="7"/>
  <c r="L484" i="7"/>
  <c r="I495" i="7"/>
  <c r="I493" i="7"/>
  <c r="I498" i="7" s="1"/>
  <c r="N467" i="7"/>
  <c r="O458" i="7"/>
  <c r="K480" i="7"/>
  <c r="O470" i="7"/>
  <c r="O469" i="7"/>
  <c r="P455" i="7"/>
  <c r="M491" i="7"/>
  <c r="M464" i="7"/>
  <c r="M478" i="7" s="1"/>
  <c r="M486" i="7" s="1"/>
  <c r="I497" i="7"/>
  <c r="O398" i="7"/>
  <c r="P415" i="7"/>
  <c r="P404" i="7"/>
  <c r="Q406" i="7"/>
  <c r="I347" i="7"/>
  <c r="I352" i="7" s="1"/>
  <c r="I355" i="7" s="1"/>
  <c r="H355" i="7"/>
  <c r="H357" i="7"/>
  <c r="H353" i="7"/>
  <c r="H358" i="7" s="1"/>
  <c r="Q330" i="7"/>
  <c r="R315" i="7"/>
  <c r="Q329" i="7"/>
  <c r="K339" i="7"/>
  <c r="K344" i="7"/>
  <c r="N351" i="7"/>
  <c r="N324" i="7"/>
  <c r="N338" i="7" s="1"/>
  <c r="N346" i="7" s="1"/>
  <c r="N318" i="7"/>
  <c r="M327" i="7"/>
  <c r="P354" i="7"/>
  <c r="Q342" i="7"/>
  <c r="O323" i="7"/>
  <c r="P321" i="7" s="1"/>
  <c r="I341" i="7"/>
  <c r="J340" i="7"/>
  <c r="S345" i="7"/>
  <c r="T336" i="7"/>
  <c r="S334" i="7"/>
  <c r="L349" i="7"/>
  <c r="L335" i="7"/>
  <c r="L337" i="7" s="1"/>
  <c r="L348" i="7"/>
  <c r="O393" i="7"/>
  <c r="P391" i="7" s="1"/>
  <c r="M628" i="7"/>
  <c r="M614" i="7"/>
  <c r="M616" i="7" s="1"/>
  <c r="M627" i="7"/>
  <c r="O630" i="7"/>
  <c r="O603" i="7"/>
  <c r="O617" i="7" s="1"/>
  <c r="O625" i="7" s="1"/>
  <c r="J620" i="7"/>
  <c r="O424" i="7"/>
  <c r="P412" i="7"/>
  <c r="M397" i="7"/>
  <c r="N388" i="7"/>
  <c r="P607" i="7"/>
  <c r="L623" i="7"/>
  <c r="L618" i="7"/>
  <c r="I417" i="7"/>
  <c r="I422" i="7" s="1"/>
  <c r="Q624" i="7"/>
  <c r="R615" i="7"/>
  <c r="Q613" i="7"/>
  <c r="N606" i="7"/>
  <c r="O597" i="7"/>
  <c r="K619" i="7"/>
  <c r="P399" i="7"/>
  <c r="Q385" i="7"/>
  <c r="P400" i="7"/>
  <c r="L419" i="7"/>
  <c r="L405" i="7"/>
  <c r="L407" i="7" s="1"/>
  <c r="L418" i="7"/>
  <c r="J410" i="7"/>
  <c r="P633" i="7"/>
  <c r="Q621" i="7"/>
  <c r="H425" i="7"/>
  <c r="H427" i="7"/>
  <c r="H423" i="7"/>
  <c r="H428" i="7" s="1"/>
  <c r="Q608" i="7"/>
  <c r="Q609" i="7"/>
  <c r="R594" i="7"/>
  <c r="P602" i="7"/>
  <c r="Q600" i="7" s="1"/>
  <c r="K414" i="7"/>
  <c r="K409" i="7"/>
  <c r="I634" i="7"/>
  <c r="I636" i="7"/>
  <c r="I632" i="7"/>
  <c r="I637" i="7" s="1"/>
  <c r="N421" i="7"/>
  <c r="N394" i="7"/>
  <c r="N408" i="7" s="1"/>
  <c r="N416" i="7" s="1"/>
  <c r="M252" i="7"/>
  <c r="N250" i="7" s="1"/>
  <c r="I270" i="7"/>
  <c r="P283" i="7"/>
  <c r="Q271" i="7"/>
  <c r="K273" i="7"/>
  <c r="K268" i="7"/>
  <c r="L278" i="7"/>
  <c r="L264" i="7"/>
  <c r="L266" i="7" s="1"/>
  <c r="L277" i="7"/>
  <c r="I276" i="7"/>
  <c r="I281" i="7" s="1"/>
  <c r="M256" i="7"/>
  <c r="N247" i="7"/>
  <c r="J269" i="7"/>
  <c r="J270" i="7" s="1"/>
  <c r="L280" i="7"/>
  <c r="L253" i="7"/>
  <c r="L267" i="7" s="1"/>
  <c r="L275" i="7" s="1"/>
  <c r="H284" i="7"/>
  <c r="H286" i="7"/>
  <c r="H282" i="7"/>
  <c r="H287" i="7" s="1"/>
  <c r="P258" i="7"/>
  <c r="P259" i="7"/>
  <c r="Q244" i="7"/>
  <c r="L204" i="7"/>
  <c r="I207" i="7"/>
  <c r="I212" i="7" s="1"/>
  <c r="I213" i="7" s="1"/>
  <c r="K199" i="7"/>
  <c r="P178" i="7"/>
  <c r="O187" i="7"/>
  <c r="P214" i="7"/>
  <c r="Q202" i="7"/>
  <c r="H215" i="7"/>
  <c r="H217" i="7"/>
  <c r="H213" i="7"/>
  <c r="H218" i="7" s="1"/>
  <c r="N209" i="7"/>
  <c r="N208" i="7"/>
  <c r="M183" i="7"/>
  <c r="N181" i="7" s="1"/>
  <c r="M205" i="7"/>
  <c r="N196" i="7"/>
  <c r="M194" i="7"/>
  <c r="M188" i="7" s="1"/>
  <c r="M195" i="7" s="1"/>
  <c r="M197" i="7" s="1"/>
  <c r="O190" i="7"/>
  <c r="O189" i="7"/>
  <c r="P175" i="7"/>
  <c r="I201" i="7"/>
  <c r="J200" i="7"/>
  <c r="L211" i="7"/>
  <c r="L184" i="7"/>
  <c r="L198" i="7" s="1"/>
  <c r="L206" i="7" s="1"/>
  <c r="P136" i="7"/>
  <c r="Q127" i="7"/>
  <c r="P125" i="7"/>
  <c r="N140" i="7"/>
  <c r="N126" i="7"/>
  <c r="N128" i="7" s="1"/>
  <c r="N139" i="7"/>
  <c r="I146" i="7"/>
  <c r="I147" i="7" s="1"/>
  <c r="I148" i="7"/>
  <c r="N114" i="7"/>
  <c r="O112" i="7" s="1"/>
  <c r="P121" i="7"/>
  <c r="Q106" i="7"/>
  <c r="P120" i="7"/>
  <c r="O145" i="7"/>
  <c r="P133" i="7"/>
  <c r="J138" i="7"/>
  <c r="J143" i="7" s="1"/>
  <c r="M135" i="7"/>
  <c r="M142" i="7"/>
  <c r="M115" i="7"/>
  <c r="M129" i="7" s="1"/>
  <c r="M137" i="7" s="1"/>
  <c r="H147" i="7"/>
  <c r="H150" i="7" s="1"/>
  <c r="L131" i="7"/>
  <c r="O118" i="7"/>
  <c r="P109" i="7"/>
  <c r="O119" i="7"/>
  <c r="I144" i="7"/>
  <c r="I149" i="7" s="1"/>
  <c r="V18" i="4"/>
  <c r="V17" i="4" s="1"/>
  <c r="R18" i="4"/>
  <c r="Z18" i="4"/>
  <c r="K31" i="13"/>
  <c r="K20" i="13" s="1"/>
  <c r="K19" i="13" s="1"/>
  <c r="D20" i="16"/>
  <c r="O274" i="7" l="1"/>
  <c r="P265" i="7"/>
  <c r="O263" i="7"/>
  <c r="O257" i="7" s="1"/>
  <c r="P119" i="7"/>
  <c r="O538" i="7"/>
  <c r="J636" i="7"/>
  <c r="S474" i="7"/>
  <c r="E20" i="16"/>
  <c r="J634" i="7"/>
  <c r="L557" i="7"/>
  <c r="L562" i="7" s="1"/>
  <c r="L567" i="7" s="1"/>
  <c r="K626" i="7"/>
  <c r="K631" i="7" s="1"/>
  <c r="K634" i="7" s="1"/>
  <c r="K635" i="7" s="1"/>
  <c r="P533" i="7"/>
  <c r="Q531" i="7" s="1"/>
  <c r="N554" i="7"/>
  <c r="N549" i="7"/>
  <c r="R555" i="7"/>
  <c r="R544" i="7"/>
  <c r="S546" i="7"/>
  <c r="P564" i="7"/>
  <c r="Q552" i="7"/>
  <c r="O559" i="7"/>
  <c r="O545" i="7"/>
  <c r="O547" i="7" s="1"/>
  <c r="O558" i="7"/>
  <c r="O561" i="7"/>
  <c r="O534" i="7"/>
  <c r="O548" i="7" s="1"/>
  <c r="O556" i="7" s="1"/>
  <c r="P537" i="7"/>
  <c r="Q528" i="7"/>
  <c r="P540" i="7"/>
  <c r="P539" i="7"/>
  <c r="Q525" i="7"/>
  <c r="K565" i="7"/>
  <c r="K566" i="7" s="1"/>
  <c r="K569" i="7" s="1"/>
  <c r="K567" i="7"/>
  <c r="K563" i="7"/>
  <c r="K568" i="7" s="1"/>
  <c r="M550" i="7"/>
  <c r="L551" i="7"/>
  <c r="J569" i="7"/>
  <c r="J497" i="7"/>
  <c r="K487" i="7"/>
  <c r="K492" i="7" s="1"/>
  <c r="K497" i="7" s="1"/>
  <c r="J495" i="7"/>
  <c r="J496" i="7" s="1"/>
  <c r="K481" i="7"/>
  <c r="T476" i="7"/>
  <c r="O463" i="7"/>
  <c r="O467" i="7"/>
  <c r="P458" i="7"/>
  <c r="I496" i="7"/>
  <c r="I499" i="7" s="1"/>
  <c r="P470" i="7"/>
  <c r="Q455" i="7"/>
  <c r="P469" i="7"/>
  <c r="P468" i="7" s="1"/>
  <c r="N489" i="7"/>
  <c r="N475" i="7"/>
  <c r="N477" i="7" s="1"/>
  <c r="N488" i="7"/>
  <c r="M479" i="7"/>
  <c r="M484" i="7"/>
  <c r="P494" i="7"/>
  <c r="Q482" i="7"/>
  <c r="O468" i="7"/>
  <c r="L480" i="7"/>
  <c r="J498" i="7"/>
  <c r="N491" i="7"/>
  <c r="N464" i="7"/>
  <c r="N478" i="7" s="1"/>
  <c r="N486" i="7" s="1"/>
  <c r="J417" i="7"/>
  <c r="J422" i="7" s="1"/>
  <c r="J425" i="7" s="1"/>
  <c r="Q415" i="7"/>
  <c r="Q404" i="7"/>
  <c r="R406" i="7"/>
  <c r="J411" i="7"/>
  <c r="I357" i="7"/>
  <c r="I353" i="7"/>
  <c r="I358" i="7" s="1"/>
  <c r="P323" i="7"/>
  <c r="Q321" i="7" s="1"/>
  <c r="J347" i="7"/>
  <c r="J352" i="7" s="1"/>
  <c r="O318" i="7"/>
  <c r="N327" i="7"/>
  <c r="K340" i="7"/>
  <c r="K341" i="7" s="1"/>
  <c r="L339" i="7"/>
  <c r="L344" i="7"/>
  <c r="J341" i="7"/>
  <c r="Q354" i="7"/>
  <c r="R342" i="7"/>
  <c r="I356" i="7"/>
  <c r="H356" i="7"/>
  <c r="H359" i="7" s="1"/>
  <c r="Q328" i="7"/>
  <c r="M349" i="7"/>
  <c r="M335" i="7"/>
  <c r="M337" i="7" s="1"/>
  <c r="M348" i="7"/>
  <c r="R329" i="7"/>
  <c r="R330" i="7"/>
  <c r="S315" i="7"/>
  <c r="T345" i="7"/>
  <c r="U336" i="7"/>
  <c r="T334" i="7"/>
  <c r="O351" i="7"/>
  <c r="O324" i="7"/>
  <c r="O338" i="7" s="1"/>
  <c r="O346" i="7" s="1"/>
  <c r="J207" i="7"/>
  <c r="J212" i="7" s="1"/>
  <c r="J215" i="7" s="1"/>
  <c r="P393" i="7"/>
  <c r="Q391" i="7" s="1"/>
  <c r="R608" i="7"/>
  <c r="R609" i="7"/>
  <c r="S594" i="7"/>
  <c r="L414" i="7"/>
  <c r="L409" i="7"/>
  <c r="I425" i="7"/>
  <c r="I423" i="7"/>
  <c r="I428" i="7" s="1"/>
  <c r="I427" i="7"/>
  <c r="L619" i="7"/>
  <c r="L626" i="7" s="1"/>
  <c r="L631" i="7" s="1"/>
  <c r="M419" i="7"/>
  <c r="M405" i="7"/>
  <c r="M407" i="7" s="1"/>
  <c r="M418" i="7"/>
  <c r="Q602" i="7"/>
  <c r="H426" i="7"/>
  <c r="H429" i="7" s="1"/>
  <c r="K620" i="7"/>
  <c r="R624" i="7"/>
  <c r="R613" i="7"/>
  <c r="S615" i="7"/>
  <c r="P424" i="7"/>
  <c r="Q412" i="7"/>
  <c r="K636" i="7"/>
  <c r="K632" i="7"/>
  <c r="K637" i="7" s="1"/>
  <c r="J635" i="7"/>
  <c r="I635" i="7"/>
  <c r="I638" i="7" s="1"/>
  <c r="P630" i="7"/>
  <c r="P603" i="7"/>
  <c r="P617" i="7" s="1"/>
  <c r="P625" i="7" s="1"/>
  <c r="Q607" i="7"/>
  <c r="Q633" i="7"/>
  <c r="R621" i="7"/>
  <c r="Q400" i="7"/>
  <c r="Q399" i="7"/>
  <c r="R385" i="7"/>
  <c r="O606" i="7"/>
  <c r="P597" i="7"/>
  <c r="K410" i="7"/>
  <c r="P398" i="7"/>
  <c r="N628" i="7"/>
  <c r="N614" i="7"/>
  <c r="N616" i="7" s="1"/>
  <c r="N627" i="7"/>
  <c r="N397" i="7"/>
  <c r="O388" i="7"/>
  <c r="M618" i="7"/>
  <c r="M623" i="7"/>
  <c r="J637" i="7"/>
  <c r="O421" i="7"/>
  <c r="O394" i="7"/>
  <c r="O408" i="7" s="1"/>
  <c r="O416" i="7" s="1"/>
  <c r="N256" i="7"/>
  <c r="O247" i="7"/>
  <c r="I284" i="7"/>
  <c r="I285" i="7" s="1"/>
  <c r="I282" i="7"/>
  <c r="I287" i="7" s="1"/>
  <c r="I286" i="7"/>
  <c r="K269" i="7"/>
  <c r="K270" i="7" s="1"/>
  <c r="M278" i="7"/>
  <c r="M264" i="7"/>
  <c r="M266" i="7" s="1"/>
  <c r="M277" i="7"/>
  <c r="L268" i="7"/>
  <c r="L273" i="7"/>
  <c r="N252" i="7"/>
  <c r="O250" i="7" s="1"/>
  <c r="J276" i="7"/>
  <c r="J281" i="7" s="1"/>
  <c r="Q283" i="7"/>
  <c r="R271" i="7"/>
  <c r="M280" i="7"/>
  <c r="M253" i="7"/>
  <c r="M267" i="7" s="1"/>
  <c r="M275" i="7" s="1"/>
  <c r="Q258" i="7"/>
  <c r="Q259" i="7"/>
  <c r="R244" i="7"/>
  <c r="H285" i="7"/>
  <c r="H288" i="7" s="1"/>
  <c r="N183" i="7"/>
  <c r="O181" i="7" s="1"/>
  <c r="N205" i="7"/>
  <c r="O196" i="7"/>
  <c r="N194" i="7"/>
  <c r="N188" i="7" s="1"/>
  <c r="N195" i="7" s="1"/>
  <c r="N197" i="7" s="1"/>
  <c r="Q214" i="7"/>
  <c r="R202" i="7"/>
  <c r="K200" i="7"/>
  <c r="P190" i="7"/>
  <c r="P189" i="7"/>
  <c r="Q175" i="7"/>
  <c r="J201" i="7"/>
  <c r="I218" i="7"/>
  <c r="O209" i="7"/>
  <c r="O208" i="7"/>
  <c r="I215" i="7"/>
  <c r="I216" i="7" s="1"/>
  <c r="I217" i="7"/>
  <c r="L199" i="7"/>
  <c r="M204" i="7"/>
  <c r="M211" i="7"/>
  <c r="M184" i="7"/>
  <c r="M198" i="7" s="1"/>
  <c r="M206" i="7" s="1"/>
  <c r="H216" i="7"/>
  <c r="H219" i="7" s="1"/>
  <c r="Q178" i="7"/>
  <c r="P187" i="7"/>
  <c r="I150" i="7"/>
  <c r="K138" i="7"/>
  <c r="K143" i="7" s="1"/>
  <c r="K146" i="7" s="1"/>
  <c r="O114" i="7"/>
  <c r="P112" i="7" s="1"/>
  <c r="J146" i="7"/>
  <c r="J148" i="7"/>
  <c r="J144" i="7"/>
  <c r="J149" i="7" s="1"/>
  <c r="Q121" i="7"/>
  <c r="Q120" i="7"/>
  <c r="R106" i="7"/>
  <c r="P118" i="7"/>
  <c r="Q109" i="7"/>
  <c r="P145" i="7"/>
  <c r="Q133" i="7"/>
  <c r="O140" i="7"/>
  <c r="O126" i="7"/>
  <c r="O128" i="7" s="1"/>
  <c r="O139" i="7"/>
  <c r="M130" i="7"/>
  <c r="N142" i="7"/>
  <c r="N115" i="7"/>
  <c r="N129" i="7" s="1"/>
  <c r="N137" i="7" s="1"/>
  <c r="N135" i="7"/>
  <c r="Q136" i="7"/>
  <c r="R127" i="7"/>
  <c r="Q125" i="7"/>
  <c r="L132" i="7"/>
  <c r="I288" i="7" l="1"/>
  <c r="M557" i="7"/>
  <c r="M562" i="7" s="1"/>
  <c r="L563" i="7"/>
  <c r="R328" i="7"/>
  <c r="P538" i="7"/>
  <c r="L565" i="7"/>
  <c r="K638" i="7"/>
  <c r="P274" i="7"/>
  <c r="Q265" i="7"/>
  <c r="P263" i="7"/>
  <c r="P257" i="7" s="1"/>
  <c r="F20" i="16"/>
  <c r="L487" i="7"/>
  <c r="L492" i="7" s="1"/>
  <c r="L497" i="7" s="1"/>
  <c r="K493" i="7"/>
  <c r="K498" i="7" s="1"/>
  <c r="M565" i="7"/>
  <c r="M566" i="7" s="1"/>
  <c r="M563" i="7"/>
  <c r="M568" i="7" s="1"/>
  <c r="M567" i="7"/>
  <c r="Q533" i="7"/>
  <c r="R531" i="7"/>
  <c r="Q564" i="7"/>
  <c r="R552" i="7"/>
  <c r="N550" i="7"/>
  <c r="N557" i="7" s="1"/>
  <c r="N562" i="7" s="1"/>
  <c r="Q537" i="7"/>
  <c r="R528" i="7"/>
  <c r="M551" i="7"/>
  <c r="Q539" i="7"/>
  <c r="Q540" i="7"/>
  <c r="R525" i="7"/>
  <c r="P559" i="7"/>
  <c r="P545" i="7"/>
  <c r="P547" i="7" s="1"/>
  <c r="P558" i="7"/>
  <c r="O554" i="7"/>
  <c r="O549" i="7"/>
  <c r="S555" i="7"/>
  <c r="S544" i="7"/>
  <c r="T546" i="7"/>
  <c r="L568" i="7"/>
  <c r="L566" i="7"/>
  <c r="L569" i="7" s="1"/>
  <c r="P561" i="7"/>
  <c r="P534" i="7"/>
  <c r="P548" i="7" s="1"/>
  <c r="P556" i="7" s="1"/>
  <c r="J499" i="7"/>
  <c r="K495" i="7"/>
  <c r="K496" i="7" s="1"/>
  <c r="K499" i="7" s="1"/>
  <c r="U476" i="7"/>
  <c r="T474" i="7"/>
  <c r="T485" i="7"/>
  <c r="P467" i="7"/>
  <c r="Q458" i="7"/>
  <c r="O491" i="7"/>
  <c r="O464" i="7"/>
  <c r="O478" i="7" s="1"/>
  <c r="O486" i="7" s="1"/>
  <c r="L481" i="7"/>
  <c r="Q494" i="7"/>
  <c r="R482" i="7"/>
  <c r="Q470" i="7"/>
  <c r="Q469" i="7"/>
  <c r="R455" i="7"/>
  <c r="O489" i="7"/>
  <c r="O475" i="7"/>
  <c r="O477" i="7" s="1"/>
  <c r="O488" i="7"/>
  <c r="N484" i="7"/>
  <c r="N479" i="7"/>
  <c r="M480" i="7"/>
  <c r="P461" i="7"/>
  <c r="J427" i="7"/>
  <c r="Q398" i="7"/>
  <c r="J423" i="7"/>
  <c r="J428" i="7" s="1"/>
  <c r="S406" i="7"/>
  <c r="R404" i="7"/>
  <c r="R415" i="7"/>
  <c r="K347" i="7"/>
  <c r="K352" i="7" s="1"/>
  <c r="K355" i="7" s="1"/>
  <c r="I359" i="7"/>
  <c r="P351" i="7"/>
  <c r="P324" i="7"/>
  <c r="P338" i="7" s="1"/>
  <c r="P346" i="7" s="1"/>
  <c r="S330" i="7"/>
  <c r="S329" i="7"/>
  <c r="T315" i="7"/>
  <c r="N349" i="7"/>
  <c r="N335" i="7"/>
  <c r="N337" i="7" s="1"/>
  <c r="N348" i="7"/>
  <c r="U345" i="7"/>
  <c r="V336" i="7"/>
  <c r="U334" i="7"/>
  <c r="J355" i="7"/>
  <c r="J357" i="7"/>
  <c r="J353" i="7"/>
  <c r="J358" i="7" s="1"/>
  <c r="M344" i="7"/>
  <c r="M339" i="7"/>
  <c r="R354" i="7"/>
  <c r="S342" i="7"/>
  <c r="L340" i="7"/>
  <c r="L341" i="7" s="1"/>
  <c r="O327" i="7"/>
  <c r="P318" i="7"/>
  <c r="Q323" i="7"/>
  <c r="J217" i="7"/>
  <c r="J213" i="7"/>
  <c r="J218" i="7" s="1"/>
  <c r="K207" i="7"/>
  <c r="K212" i="7" s="1"/>
  <c r="K213" i="7" s="1"/>
  <c r="K218" i="7" s="1"/>
  <c r="Q393" i="7"/>
  <c r="R391" i="7" s="1"/>
  <c r="R633" i="7"/>
  <c r="S621" i="7"/>
  <c r="J638" i="7"/>
  <c r="Q424" i="7"/>
  <c r="R412" i="7"/>
  <c r="Q630" i="7"/>
  <c r="Q603" i="7"/>
  <c r="Q617" i="7" s="1"/>
  <c r="Q625" i="7" s="1"/>
  <c r="P606" i="7"/>
  <c r="Q597" i="7"/>
  <c r="J426" i="7"/>
  <c r="I426" i="7"/>
  <c r="I429" i="7" s="1"/>
  <c r="L620" i="7"/>
  <c r="L410" i="7"/>
  <c r="L411" i="7" s="1"/>
  <c r="R607" i="7"/>
  <c r="M619" i="7"/>
  <c r="M626" i="7" s="1"/>
  <c r="M631" i="7" s="1"/>
  <c r="P388" i="7"/>
  <c r="O397" i="7"/>
  <c r="O628" i="7"/>
  <c r="O614" i="7"/>
  <c r="O616" i="7" s="1"/>
  <c r="O627" i="7"/>
  <c r="L634" i="7"/>
  <c r="L635" i="7" s="1"/>
  <c r="L638" i="7" s="1"/>
  <c r="L636" i="7"/>
  <c r="L632" i="7"/>
  <c r="L637" i="7" s="1"/>
  <c r="M414" i="7"/>
  <c r="M409" i="7"/>
  <c r="N618" i="7"/>
  <c r="N623" i="7"/>
  <c r="K417" i="7"/>
  <c r="K422" i="7" s="1"/>
  <c r="K411" i="7"/>
  <c r="N419" i="7"/>
  <c r="N405" i="7"/>
  <c r="N407" i="7" s="1"/>
  <c r="N418" i="7"/>
  <c r="R400" i="7"/>
  <c r="R399" i="7"/>
  <c r="S385" i="7"/>
  <c r="S624" i="7"/>
  <c r="S613" i="7"/>
  <c r="T615" i="7"/>
  <c r="R600" i="7"/>
  <c r="S609" i="7"/>
  <c r="T594" i="7"/>
  <c r="S608" i="7"/>
  <c r="P421" i="7"/>
  <c r="P394" i="7"/>
  <c r="P408" i="7" s="1"/>
  <c r="P416" i="7" s="1"/>
  <c r="O252" i="7"/>
  <c r="N278" i="7"/>
  <c r="N264" i="7"/>
  <c r="N266" i="7" s="1"/>
  <c r="N277" i="7"/>
  <c r="L269" i="7"/>
  <c r="J284" i="7"/>
  <c r="J286" i="7"/>
  <c r="J282" i="7"/>
  <c r="J287" i="7" s="1"/>
  <c r="R259" i="7"/>
  <c r="R258" i="7"/>
  <c r="S244" i="7"/>
  <c r="N280" i="7"/>
  <c r="N253" i="7"/>
  <c r="N267" i="7" s="1"/>
  <c r="N275" i="7" s="1"/>
  <c r="R283" i="7"/>
  <c r="S271" i="7"/>
  <c r="M273" i="7"/>
  <c r="M268" i="7"/>
  <c r="K276" i="7"/>
  <c r="K281" i="7" s="1"/>
  <c r="O256" i="7"/>
  <c r="P247" i="7"/>
  <c r="J216" i="7"/>
  <c r="J219" i="7" s="1"/>
  <c r="M199" i="7"/>
  <c r="K201" i="7"/>
  <c r="I219" i="7"/>
  <c r="O183" i="7"/>
  <c r="P181" i="7" s="1"/>
  <c r="Q189" i="7"/>
  <c r="Q190" i="7"/>
  <c r="R175" i="7"/>
  <c r="O205" i="7"/>
  <c r="P196" i="7"/>
  <c r="O194" i="7"/>
  <c r="O188" i="7" s="1"/>
  <c r="O195" i="7" s="1"/>
  <c r="O197" i="7" s="1"/>
  <c r="P209" i="7"/>
  <c r="P208" i="7"/>
  <c r="Q187" i="7"/>
  <c r="R178" i="7"/>
  <c r="R214" i="7"/>
  <c r="S202" i="7"/>
  <c r="M200" i="7"/>
  <c r="L200" i="7"/>
  <c r="N204" i="7"/>
  <c r="N211" i="7"/>
  <c r="N184" i="7"/>
  <c r="N198" i="7" s="1"/>
  <c r="N206" i="7" s="1"/>
  <c r="L138" i="7"/>
  <c r="L143" i="7" s="1"/>
  <c r="L144" i="7" s="1"/>
  <c r="N130" i="7"/>
  <c r="N131" i="7" s="1"/>
  <c r="K147" i="7"/>
  <c r="K144" i="7"/>
  <c r="K149" i="7" s="1"/>
  <c r="K148" i="7"/>
  <c r="O135" i="7"/>
  <c r="Q118" i="7"/>
  <c r="R109" i="7"/>
  <c r="P126" i="7"/>
  <c r="P128" i="7" s="1"/>
  <c r="P140" i="7"/>
  <c r="P139" i="7"/>
  <c r="M131" i="7"/>
  <c r="Q145" i="7"/>
  <c r="R133" i="7"/>
  <c r="R120" i="7"/>
  <c r="R121" i="7"/>
  <c r="S106" i="7"/>
  <c r="R136" i="7"/>
  <c r="R125" i="7"/>
  <c r="S127" i="7"/>
  <c r="Q119" i="7"/>
  <c r="J147" i="7"/>
  <c r="J150" i="7" s="1"/>
  <c r="P114" i="7"/>
  <c r="O142" i="7"/>
  <c r="O115" i="7"/>
  <c r="O129" i="7" s="1"/>
  <c r="O137" i="7" s="1"/>
  <c r="F44" i="7"/>
  <c r="L146" i="7" l="1"/>
  <c r="L147" i="7" s="1"/>
  <c r="L150" i="7" s="1"/>
  <c r="Q274" i="7"/>
  <c r="R265" i="7"/>
  <c r="Q263" i="7"/>
  <c r="Q257" i="7" s="1"/>
  <c r="S328" i="7"/>
  <c r="K215" i="7"/>
  <c r="K216" i="7" s="1"/>
  <c r="G20" i="16"/>
  <c r="L493" i="7"/>
  <c r="L498" i="7" s="1"/>
  <c r="L495" i="7"/>
  <c r="L496" i="7" s="1"/>
  <c r="L499" i="7" s="1"/>
  <c r="M487" i="7"/>
  <c r="M492" i="7" s="1"/>
  <c r="M495" i="7" s="1"/>
  <c r="M496" i="7" s="1"/>
  <c r="M499" i="7" s="1"/>
  <c r="N565" i="7"/>
  <c r="N566" i="7" s="1"/>
  <c r="N569" i="7" s="1"/>
  <c r="N563" i="7"/>
  <c r="N568" i="7" s="1"/>
  <c r="N567" i="7"/>
  <c r="T555" i="7"/>
  <c r="U546" i="7"/>
  <c r="T544" i="7"/>
  <c r="R540" i="7"/>
  <c r="R539" i="7"/>
  <c r="S525" i="7"/>
  <c r="S528" i="7"/>
  <c r="R537" i="7"/>
  <c r="N551" i="7"/>
  <c r="Q561" i="7"/>
  <c r="Q534" i="7"/>
  <c r="Q548" i="7" s="1"/>
  <c r="Q556" i="7" s="1"/>
  <c r="R564" i="7"/>
  <c r="S552" i="7"/>
  <c r="P554" i="7"/>
  <c r="P549" i="7"/>
  <c r="Q538" i="7"/>
  <c r="Q545" i="7" s="1"/>
  <c r="Q547" i="7" s="1"/>
  <c r="Q559" i="7"/>
  <c r="Q558" i="7"/>
  <c r="O550" i="7"/>
  <c r="O557" i="7" s="1"/>
  <c r="O562" i="7" s="1"/>
  <c r="R533" i="7"/>
  <c r="S531" i="7" s="1"/>
  <c r="M569" i="7"/>
  <c r="U485" i="7"/>
  <c r="U474" i="7"/>
  <c r="V476" i="7"/>
  <c r="M481" i="7"/>
  <c r="O484" i="7"/>
  <c r="O479" i="7"/>
  <c r="N480" i="7"/>
  <c r="R494" i="7"/>
  <c r="S482" i="7"/>
  <c r="P463" i="7"/>
  <c r="Q461" i="7"/>
  <c r="R469" i="7"/>
  <c r="R470" i="7"/>
  <c r="S455" i="7"/>
  <c r="R458" i="7"/>
  <c r="Q467" i="7"/>
  <c r="Q468" i="7"/>
  <c r="P489" i="7"/>
  <c r="P475" i="7"/>
  <c r="P477" i="7" s="1"/>
  <c r="P488" i="7"/>
  <c r="J429" i="7"/>
  <c r="S404" i="7"/>
  <c r="T406" i="7"/>
  <c r="S415" i="7"/>
  <c r="L347" i="7"/>
  <c r="L352" i="7" s="1"/>
  <c r="L355" i="7" s="1"/>
  <c r="L356" i="7" s="1"/>
  <c r="K357" i="7"/>
  <c r="Y28" i="6" s="1"/>
  <c r="K353" i="7"/>
  <c r="K358" i="7" s="1"/>
  <c r="Q351" i="7"/>
  <c r="Q324" i="7"/>
  <c r="Q338" i="7" s="1"/>
  <c r="Q346" i="7" s="1"/>
  <c r="V345" i="7"/>
  <c r="W336" i="7"/>
  <c r="V334" i="7"/>
  <c r="P327" i="7"/>
  <c r="Q318" i="7"/>
  <c r="S354" i="7"/>
  <c r="T342" i="7"/>
  <c r="O349" i="7"/>
  <c r="O335" i="7"/>
  <c r="O337" i="7" s="1"/>
  <c r="O348" i="7"/>
  <c r="T330" i="7"/>
  <c r="T329" i="7"/>
  <c r="U315" i="7"/>
  <c r="R321" i="7"/>
  <c r="M340" i="7"/>
  <c r="K356" i="7"/>
  <c r="J356" i="7"/>
  <c r="J359" i="7" s="1"/>
  <c r="N344" i="7"/>
  <c r="N339" i="7"/>
  <c r="L207" i="7"/>
  <c r="L212" i="7" s="1"/>
  <c r="K217" i="7"/>
  <c r="Y23" i="6" s="1"/>
  <c r="M634" i="7"/>
  <c r="M635" i="7" s="1"/>
  <c r="M638" i="7" s="1"/>
  <c r="M636" i="7"/>
  <c r="M632" i="7"/>
  <c r="M637" i="7" s="1"/>
  <c r="R393" i="7"/>
  <c r="S391" i="7" s="1"/>
  <c r="K425" i="7"/>
  <c r="K423" i="7"/>
  <c r="K428" i="7" s="1"/>
  <c r="K427" i="7"/>
  <c r="Y33" i="6" s="1"/>
  <c r="S607" i="7"/>
  <c r="T624" i="7"/>
  <c r="T613" i="7"/>
  <c r="U615" i="7"/>
  <c r="R398" i="7"/>
  <c r="M410" i="7"/>
  <c r="O419" i="7"/>
  <c r="O405" i="7"/>
  <c r="O407" i="7" s="1"/>
  <c r="O418" i="7"/>
  <c r="R602" i="7"/>
  <c r="S600" i="7" s="1"/>
  <c r="S399" i="7"/>
  <c r="T385" i="7"/>
  <c r="S400" i="7"/>
  <c r="T609" i="7"/>
  <c r="T608" i="7"/>
  <c r="U594" i="7"/>
  <c r="N619" i="7"/>
  <c r="N626" i="7" s="1"/>
  <c r="N631" i="7" s="1"/>
  <c r="Q388" i="7"/>
  <c r="P397" i="7"/>
  <c r="S633" i="7"/>
  <c r="T621" i="7"/>
  <c r="N414" i="7"/>
  <c r="N409" i="7"/>
  <c r="O623" i="7"/>
  <c r="O618" i="7"/>
  <c r="M620" i="7"/>
  <c r="L417" i="7"/>
  <c r="L422" i="7" s="1"/>
  <c r="R597" i="7"/>
  <c r="Q606" i="7"/>
  <c r="R424" i="7"/>
  <c r="S412" i="7"/>
  <c r="P628" i="7"/>
  <c r="P614" i="7"/>
  <c r="P616" i="7" s="1"/>
  <c r="P627" i="7"/>
  <c r="Q421" i="7"/>
  <c r="Q394" i="7"/>
  <c r="Q408" i="7" s="1"/>
  <c r="Q416" i="7" s="1"/>
  <c r="L276" i="7"/>
  <c r="L281" i="7" s="1"/>
  <c r="L286" i="7" s="1"/>
  <c r="M269" i="7"/>
  <c r="O278" i="7"/>
  <c r="O264" i="7"/>
  <c r="O266" i="7" s="1"/>
  <c r="O277" i="7"/>
  <c r="S283" i="7"/>
  <c r="T271" i="7"/>
  <c r="N273" i="7"/>
  <c r="N268" i="7"/>
  <c r="O280" i="7"/>
  <c r="O253" i="7"/>
  <c r="O267" i="7" s="1"/>
  <c r="O275" i="7" s="1"/>
  <c r="K284" i="7"/>
  <c r="K285" i="7" s="1"/>
  <c r="K286" i="7"/>
  <c r="Y27" i="6" s="1"/>
  <c r="K282" i="7"/>
  <c r="K287" i="7" s="1"/>
  <c r="S259" i="7"/>
  <c r="T244" i="7"/>
  <c r="S258" i="7"/>
  <c r="L270" i="7"/>
  <c r="Q247" i="7"/>
  <c r="P256" i="7"/>
  <c r="J285" i="7"/>
  <c r="J288" i="7" s="1"/>
  <c r="P250" i="7"/>
  <c r="K219" i="7"/>
  <c r="M201" i="7"/>
  <c r="P183" i="7"/>
  <c r="Q181" i="7" s="1"/>
  <c r="R187" i="7"/>
  <c r="S178" i="7"/>
  <c r="N199" i="7"/>
  <c r="P205" i="7"/>
  <c r="P194" i="7"/>
  <c r="P188" i="7" s="1"/>
  <c r="P195" i="7" s="1"/>
  <c r="P197" i="7" s="1"/>
  <c r="Q196" i="7"/>
  <c r="M207" i="7"/>
  <c r="M212" i="7" s="1"/>
  <c r="S175" i="7"/>
  <c r="R190" i="7"/>
  <c r="R189" i="7"/>
  <c r="L215" i="7"/>
  <c r="L216" i="7" s="1"/>
  <c r="L219" i="7" s="1"/>
  <c r="L213" i="7"/>
  <c r="L218" i="7" s="1"/>
  <c r="L217" i="7"/>
  <c r="S214" i="7"/>
  <c r="T202" i="7"/>
  <c r="L201" i="7"/>
  <c r="Q209" i="7"/>
  <c r="Q208" i="7"/>
  <c r="O204" i="7"/>
  <c r="O211" i="7"/>
  <c r="O184" i="7"/>
  <c r="O198" i="7" s="1"/>
  <c r="O206" i="7" s="1"/>
  <c r="M138" i="7"/>
  <c r="M143" i="7" s="1"/>
  <c r="M146" i="7" s="1"/>
  <c r="M147" i="7" s="1"/>
  <c r="M150" i="7" s="1"/>
  <c r="L148" i="7"/>
  <c r="N132" i="7"/>
  <c r="L149" i="7"/>
  <c r="M132" i="7"/>
  <c r="R145" i="7"/>
  <c r="S133" i="7"/>
  <c r="P142" i="7"/>
  <c r="P115" i="7"/>
  <c r="P129" i="7" s="1"/>
  <c r="P137" i="7" s="1"/>
  <c r="R119" i="7"/>
  <c r="R118" i="7"/>
  <c r="S109" i="7"/>
  <c r="Q140" i="7"/>
  <c r="Q126" i="7"/>
  <c r="Q128" i="7" s="1"/>
  <c r="Q139" i="7"/>
  <c r="S120" i="7"/>
  <c r="S121" i="7"/>
  <c r="T106" i="7"/>
  <c r="Q112" i="7"/>
  <c r="S136" i="7"/>
  <c r="T127" i="7"/>
  <c r="S125" i="7"/>
  <c r="K150" i="7"/>
  <c r="P135" i="7"/>
  <c r="O130" i="7"/>
  <c r="B46" i="7"/>
  <c r="C20" i="11"/>
  <c r="C22" i="15" s="1"/>
  <c r="S265" i="7" l="1"/>
  <c r="R274" i="7"/>
  <c r="R263" i="7"/>
  <c r="R257" i="7" s="1"/>
  <c r="R538" i="7"/>
  <c r="L353" i="7"/>
  <c r="M493" i="7"/>
  <c r="M498" i="7" s="1"/>
  <c r="N487" i="7"/>
  <c r="N492" i="7" s="1"/>
  <c r="N495" i="7" s="1"/>
  <c r="N496" i="7" s="1"/>
  <c r="N499" i="7" s="1"/>
  <c r="M497" i="7"/>
  <c r="Y34" i="6" s="1"/>
  <c r="O551" i="7"/>
  <c r="R559" i="7"/>
  <c r="R545" i="7"/>
  <c r="R547" i="7" s="1"/>
  <c r="R558" i="7"/>
  <c r="S533" i="7"/>
  <c r="T531" i="7"/>
  <c r="P550" i="7"/>
  <c r="P557" i="7" s="1"/>
  <c r="P562" i="7" s="1"/>
  <c r="P551" i="7"/>
  <c r="T528" i="7"/>
  <c r="S537" i="7"/>
  <c r="O565" i="7"/>
  <c r="O566" i="7" s="1"/>
  <c r="O569" i="7" s="1"/>
  <c r="O567" i="7"/>
  <c r="O563" i="7"/>
  <c r="O568" i="7" s="1"/>
  <c r="R561" i="7"/>
  <c r="R534" i="7"/>
  <c r="R548" i="7" s="1"/>
  <c r="R556" i="7" s="1"/>
  <c r="Q554" i="7"/>
  <c r="Q549" i="7"/>
  <c r="S540" i="7"/>
  <c r="S539" i="7"/>
  <c r="T525" i="7"/>
  <c r="S564" i="7"/>
  <c r="T552" i="7"/>
  <c r="U555" i="7"/>
  <c r="V546" i="7"/>
  <c r="U544" i="7"/>
  <c r="N481" i="7"/>
  <c r="V485" i="7"/>
  <c r="V474" i="7"/>
  <c r="W476" i="7"/>
  <c r="N497" i="7"/>
  <c r="N493" i="7"/>
  <c r="P484" i="7"/>
  <c r="R467" i="7"/>
  <c r="S458" i="7"/>
  <c r="Q463" i="7"/>
  <c r="R461" i="7"/>
  <c r="P491" i="7"/>
  <c r="P464" i="7"/>
  <c r="P478" i="7" s="1"/>
  <c r="P486" i="7" s="1"/>
  <c r="S470" i="7"/>
  <c r="S469" i="7"/>
  <c r="S468" i="7" s="1"/>
  <c r="T455" i="7"/>
  <c r="L357" i="7"/>
  <c r="Q489" i="7"/>
  <c r="Q475" i="7"/>
  <c r="Q477" i="7" s="1"/>
  <c r="Q488" i="7"/>
  <c r="R468" i="7"/>
  <c r="S494" i="7"/>
  <c r="T482" i="7"/>
  <c r="O480" i="7"/>
  <c r="O487" i="7" s="1"/>
  <c r="O492" i="7" s="1"/>
  <c r="S398" i="7"/>
  <c r="U406" i="7"/>
  <c r="T404" i="7"/>
  <c r="T415" i="7"/>
  <c r="M347" i="7"/>
  <c r="M352" i="7" s="1"/>
  <c r="M353" i="7" s="1"/>
  <c r="M358" i="7" s="1"/>
  <c r="L358" i="7"/>
  <c r="M341" i="7"/>
  <c r="K359" i="7"/>
  <c r="V315" i="7"/>
  <c r="U330" i="7"/>
  <c r="U329" i="7"/>
  <c r="U328" i="7" s="1"/>
  <c r="O339" i="7"/>
  <c r="O344" i="7"/>
  <c r="W345" i="7"/>
  <c r="X336" i="7"/>
  <c r="W334" i="7"/>
  <c r="N340" i="7"/>
  <c r="N341" i="7" s="1"/>
  <c r="T328" i="7"/>
  <c r="R318" i="7"/>
  <c r="Q327" i="7"/>
  <c r="P349" i="7"/>
  <c r="P335" i="7"/>
  <c r="P337" i="7" s="1"/>
  <c r="P348" i="7"/>
  <c r="L359" i="7"/>
  <c r="R323" i="7"/>
  <c r="S321" i="7" s="1"/>
  <c r="T354" i="7"/>
  <c r="U342" i="7"/>
  <c r="N634" i="7"/>
  <c r="N635" i="7" s="1"/>
  <c r="N638" i="7" s="1"/>
  <c r="N636" i="7"/>
  <c r="N632" i="7"/>
  <c r="N637" i="7" s="1"/>
  <c r="L425" i="7"/>
  <c r="L427" i="7"/>
  <c r="L423" i="7"/>
  <c r="L428" i="7" s="1"/>
  <c r="N410" i="7"/>
  <c r="N411" i="7" s="1"/>
  <c r="Q397" i="7"/>
  <c r="R388" i="7"/>
  <c r="T399" i="7"/>
  <c r="U385" i="7"/>
  <c r="T400" i="7"/>
  <c r="M417" i="7"/>
  <c r="M422" i="7" s="1"/>
  <c r="U624" i="7"/>
  <c r="U613" i="7"/>
  <c r="V615" i="7"/>
  <c r="R421" i="7"/>
  <c r="R394" i="7"/>
  <c r="R408" i="7" s="1"/>
  <c r="R416" i="7" s="1"/>
  <c r="S424" i="7"/>
  <c r="T412" i="7"/>
  <c r="U608" i="7"/>
  <c r="U609" i="7"/>
  <c r="V594" i="7"/>
  <c r="T607" i="7"/>
  <c r="M411" i="7"/>
  <c r="P623" i="7"/>
  <c r="P618" i="7"/>
  <c r="Q628" i="7"/>
  <c r="Q614" i="7"/>
  <c r="Q616" i="7" s="1"/>
  <c r="Q627" i="7"/>
  <c r="O619" i="7"/>
  <c r="O626" i="7" s="1"/>
  <c r="O631" i="7" s="1"/>
  <c r="T633" i="7"/>
  <c r="U621" i="7"/>
  <c r="L426" i="7"/>
  <c r="K426" i="7"/>
  <c r="K429" i="7" s="1"/>
  <c r="S602" i="7"/>
  <c r="T600" i="7" s="1"/>
  <c r="R606" i="7"/>
  <c r="S597" i="7"/>
  <c r="P419" i="7"/>
  <c r="P405" i="7"/>
  <c r="P407" i="7" s="1"/>
  <c r="P418" i="7"/>
  <c r="N620" i="7"/>
  <c r="R630" i="7"/>
  <c r="R603" i="7"/>
  <c r="R617" i="7" s="1"/>
  <c r="R625" i="7" s="1"/>
  <c r="O414" i="7"/>
  <c r="O409" i="7"/>
  <c r="S393" i="7"/>
  <c r="T391" i="7" s="1"/>
  <c r="N138" i="7"/>
  <c r="N143" i="7" s="1"/>
  <c r="N146" i="7" s="1"/>
  <c r="N147" i="7" s="1"/>
  <c r="N150" i="7" s="1"/>
  <c r="M144" i="7"/>
  <c r="M149" i="7" s="1"/>
  <c r="L282" i="7"/>
  <c r="L287" i="7" s="1"/>
  <c r="L284" i="7"/>
  <c r="L285" i="7" s="1"/>
  <c r="L288" i="7" s="1"/>
  <c r="M276" i="7"/>
  <c r="M281" i="7" s="1"/>
  <c r="M284" i="7" s="1"/>
  <c r="N269" i="7"/>
  <c r="O273" i="7"/>
  <c r="O268" i="7"/>
  <c r="P252" i="7"/>
  <c r="Q250" i="7" s="1"/>
  <c r="P278" i="7"/>
  <c r="P264" i="7"/>
  <c r="P266" i="7" s="1"/>
  <c r="P277" i="7"/>
  <c r="T258" i="7"/>
  <c r="T259" i="7"/>
  <c r="U244" i="7"/>
  <c r="K288" i="7"/>
  <c r="T283" i="7"/>
  <c r="U271" i="7"/>
  <c r="M270" i="7"/>
  <c r="Q256" i="7"/>
  <c r="R247" i="7"/>
  <c r="O199" i="7"/>
  <c r="O200" i="7" s="1"/>
  <c r="O201" i="7" s="1"/>
  <c r="Q183" i="7"/>
  <c r="R181" i="7" s="1"/>
  <c r="Q205" i="7"/>
  <c r="R196" i="7"/>
  <c r="Q194" i="7"/>
  <c r="Q188" i="7" s="1"/>
  <c r="Q195" i="7" s="1"/>
  <c r="Q197" i="7" s="1"/>
  <c r="T178" i="7"/>
  <c r="S187" i="7"/>
  <c r="S190" i="7"/>
  <c r="S189" i="7"/>
  <c r="T175" i="7"/>
  <c r="P204" i="7"/>
  <c r="R209" i="7"/>
  <c r="R208" i="7"/>
  <c r="T214" i="7"/>
  <c r="U202" i="7"/>
  <c r="M215" i="7"/>
  <c r="M216" i="7" s="1"/>
  <c r="M219" i="7" s="1"/>
  <c r="M217" i="7"/>
  <c r="M213" i="7"/>
  <c r="M218" i="7" s="1"/>
  <c r="N200" i="7"/>
  <c r="N207" i="7" s="1"/>
  <c r="N212" i="7" s="1"/>
  <c r="P211" i="7"/>
  <c r="P184" i="7"/>
  <c r="P198" i="7" s="1"/>
  <c r="P206" i="7" s="1"/>
  <c r="M148" i="7"/>
  <c r="P130" i="7"/>
  <c r="O131" i="7"/>
  <c r="T136" i="7"/>
  <c r="T125" i="7"/>
  <c r="U127" i="7"/>
  <c r="T121" i="7"/>
  <c r="U106" i="7"/>
  <c r="T120" i="7"/>
  <c r="Q135" i="7"/>
  <c r="Q114" i="7"/>
  <c r="R112" i="7" s="1"/>
  <c r="S119" i="7"/>
  <c r="S118" i="7"/>
  <c r="T109" i="7"/>
  <c r="R140" i="7"/>
  <c r="R126" i="7"/>
  <c r="R128" i="7" s="1"/>
  <c r="R139" i="7"/>
  <c r="S145" i="7"/>
  <c r="T133" i="7"/>
  <c r="B50" i="12"/>
  <c r="C36" i="16"/>
  <c r="G70" i="12"/>
  <c r="G69" i="12"/>
  <c r="G68" i="12"/>
  <c r="G67" i="12"/>
  <c r="G55" i="12"/>
  <c r="G51" i="12"/>
  <c r="G49" i="12"/>
  <c r="G48" i="12"/>
  <c r="G47" i="12"/>
  <c r="G46" i="12"/>
  <c r="G42" i="12"/>
  <c r="G41" i="12"/>
  <c r="G40" i="12"/>
  <c r="G39" i="12"/>
  <c r="G36" i="12"/>
  <c r="G29" i="12"/>
  <c r="G27" i="12"/>
  <c r="G26" i="12"/>
  <c r="G25" i="12"/>
  <c r="G24" i="12"/>
  <c r="G23" i="12"/>
  <c r="G20" i="12"/>
  <c r="G19" i="12"/>
  <c r="G18" i="12"/>
  <c r="G17" i="12"/>
  <c r="N276" i="7" l="1"/>
  <c r="N281" i="7" s="1"/>
  <c r="M285" i="7"/>
  <c r="T265" i="7"/>
  <c r="S263" i="7"/>
  <c r="S257" i="7" s="1"/>
  <c r="S274" i="7"/>
  <c r="S538" i="7"/>
  <c r="L429" i="7"/>
  <c r="U607" i="7"/>
  <c r="N498" i="7"/>
  <c r="P565" i="7"/>
  <c r="P566" i="7" s="1"/>
  <c r="P569" i="7" s="1"/>
  <c r="P567" i="7"/>
  <c r="P563" i="7"/>
  <c r="P568" i="7" s="1"/>
  <c r="T564" i="7"/>
  <c r="U552" i="7"/>
  <c r="R554" i="7"/>
  <c r="R549" i="7"/>
  <c r="S559" i="7"/>
  <c r="S545" i="7"/>
  <c r="S547" i="7" s="1"/>
  <c r="S558" i="7"/>
  <c r="T533" i="7"/>
  <c r="U531" i="7" s="1"/>
  <c r="M355" i="7"/>
  <c r="M356" i="7" s="1"/>
  <c r="M359" i="7" s="1"/>
  <c r="M357" i="7"/>
  <c r="V555" i="7"/>
  <c r="W546" i="7"/>
  <c r="V544" i="7"/>
  <c r="T539" i="7"/>
  <c r="T540" i="7"/>
  <c r="U525" i="7"/>
  <c r="Q550" i="7"/>
  <c r="Q557" i="7" s="1"/>
  <c r="Q562" i="7" s="1"/>
  <c r="T537" i="7"/>
  <c r="U528" i="7"/>
  <c r="S561" i="7"/>
  <c r="S534" i="7"/>
  <c r="S548" i="7" s="1"/>
  <c r="S556" i="7" s="1"/>
  <c r="O481" i="7"/>
  <c r="W474" i="7"/>
  <c r="W485" i="7"/>
  <c r="X476" i="7"/>
  <c r="X474" i="7" s="1"/>
  <c r="O495" i="7"/>
  <c r="O496" i="7" s="1"/>
  <c r="O499" i="7" s="1"/>
  <c r="O493" i="7"/>
  <c r="O498" i="7" s="1"/>
  <c r="O497" i="7"/>
  <c r="P479" i="7"/>
  <c r="S467" i="7"/>
  <c r="T458" i="7"/>
  <c r="T470" i="7"/>
  <c r="U455" i="7"/>
  <c r="T469" i="7"/>
  <c r="R463" i="7"/>
  <c r="S461" i="7"/>
  <c r="R489" i="7"/>
  <c r="R475" i="7"/>
  <c r="R477" i="7" s="1"/>
  <c r="R488" i="7"/>
  <c r="T494" i="7"/>
  <c r="U482" i="7"/>
  <c r="Q484" i="7"/>
  <c r="Q491" i="7"/>
  <c r="Q464" i="7"/>
  <c r="Q478" i="7" s="1"/>
  <c r="Q486" i="7" s="1"/>
  <c r="U415" i="7"/>
  <c r="V406" i="7"/>
  <c r="U404" i="7"/>
  <c r="N347" i="7"/>
  <c r="N352" i="7" s="1"/>
  <c r="N355" i="7" s="1"/>
  <c r="N356" i="7" s="1"/>
  <c r="N359" i="7" s="1"/>
  <c r="S318" i="7"/>
  <c r="R327" i="7"/>
  <c r="O340" i="7"/>
  <c r="O341" i="7" s="1"/>
  <c r="P339" i="7"/>
  <c r="P344" i="7"/>
  <c r="X345" i="7"/>
  <c r="X334" i="7"/>
  <c r="Y336" i="7"/>
  <c r="S323" i="7"/>
  <c r="T321" i="7"/>
  <c r="R351" i="7"/>
  <c r="R324" i="7"/>
  <c r="R338" i="7" s="1"/>
  <c r="R346" i="7" s="1"/>
  <c r="U354" i="7"/>
  <c r="V342" i="7"/>
  <c r="Q349" i="7"/>
  <c r="Q335" i="7"/>
  <c r="Q337" i="7" s="1"/>
  <c r="Q348" i="7"/>
  <c r="V329" i="7"/>
  <c r="V330" i="7"/>
  <c r="W315" i="7"/>
  <c r="M288" i="7"/>
  <c r="M282" i="7"/>
  <c r="M287" i="7" s="1"/>
  <c r="M286" i="7"/>
  <c r="T393" i="7"/>
  <c r="U391" i="7" s="1"/>
  <c r="T602" i="7"/>
  <c r="U600" i="7" s="1"/>
  <c r="T424" i="7"/>
  <c r="U412" i="7"/>
  <c r="Q419" i="7"/>
  <c r="Q405" i="7"/>
  <c r="Q407" i="7" s="1"/>
  <c r="Q418" i="7"/>
  <c r="P414" i="7"/>
  <c r="P409" i="7"/>
  <c r="R628" i="7"/>
  <c r="R614" i="7"/>
  <c r="R616" i="7" s="1"/>
  <c r="R627" i="7"/>
  <c r="O620" i="7"/>
  <c r="P619" i="7"/>
  <c r="P626" i="7" s="1"/>
  <c r="P631" i="7" s="1"/>
  <c r="V608" i="7"/>
  <c r="V609" i="7"/>
  <c r="W594" i="7"/>
  <c r="U400" i="7"/>
  <c r="U399" i="7"/>
  <c r="V385" i="7"/>
  <c r="S606" i="7"/>
  <c r="T597" i="7"/>
  <c r="S421" i="7"/>
  <c r="S394" i="7"/>
  <c r="S408" i="7" s="1"/>
  <c r="S416" i="7" s="1"/>
  <c r="U633" i="7"/>
  <c r="V621" i="7"/>
  <c r="T398" i="7"/>
  <c r="N417" i="7"/>
  <c r="N422" i="7" s="1"/>
  <c r="O410" i="7"/>
  <c r="O411" i="7" s="1"/>
  <c r="S630" i="7"/>
  <c r="S603" i="7"/>
  <c r="S617" i="7" s="1"/>
  <c r="S625" i="7" s="1"/>
  <c r="Q618" i="7"/>
  <c r="Q623" i="7"/>
  <c r="M425" i="7"/>
  <c r="M426" i="7" s="1"/>
  <c r="M429" i="7" s="1"/>
  <c r="M423" i="7"/>
  <c r="M428" i="7" s="1"/>
  <c r="M427" i="7"/>
  <c r="R397" i="7"/>
  <c r="S388" i="7"/>
  <c r="O634" i="7"/>
  <c r="O635" i="7" s="1"/>
  <c r="O638" i="7" s="1"/>
  <c r="O632" i="7"/>
  <c r="O637" i="7" s="1"/>
  <c r="O636" i="7"/>
  <c r="V624" i="7"/>
  <c r="W615" i="7"/>
  <c r="V613" i="7"/>
  <c r="N144" i="7"/>
  <c r="N149" i="7" s="1"/>
  <c r="O138" i="7"/>
  <c r="O143" i="7" s="1"/>
  <c r="O146" i="7" s="1"/>
  <c r="O147" i="7" s="1"/>
  <c r="O150" i="7" s="1"/>
  <c r="N148" i="7"/>
  <c r="Q278" i="7"/>
  <c r="Q264" i="7"/>
  <c r="Q266" i="7" s="1"/>
  <c r="Q277" i="7"/>
  <c r="N284" i="7"/>
  <c r="N285" i="7" s="1"/>
  <c r="N288" i="7" s="1"/>
  <c r="N282" i="7"/>
  <c r="N286" i="7"/>
  <c r="P280" i="7"/>
  <c r="P253" i="7"/>
  <c r="P267" i="7" s="1"/>
  <c r="P275" i="7" s="1"/>
  <c r="N270" i="7"/>
  <c r="O269" i="7"/>
  <c r="O276" i="7" s="1"/>
  <c r="O281" i="7" s="1"/>
  <c r="U283" i="7"/>
  <c r="V271" i="7"/>
  <c r="U259" i="7"/>
  <c r="U258" i="7"/>
  <c r="V244" i="7"/>
  <c r="P273" i="7"/>
  <c r="R256" i="7"/>
  <c r="S247" i="7"/>
  <c r="Q252" i="7"/>
  <c r="R250" i="7" s="1"/>
  <c r="N201" i="7"/>
  <c r="P199" i="7"/>
  <c r="R205" i="7"/>
  <c r="R194" i="7"/>
  <c r="R188" i="7" s="1"/>
  <c r="R195" i="7" s="1"/>
  <c r="R197" i="7" s="1"/>
  <c r="S196" i="7"/>
  <c r="T189" i="7"/>
  <c r="T190" i="7"/>
  <c r="U175" i="7"/>
  <c r="S209" i="7"/>
  <c r="S208" i="7"/>
  <c r="N215" i="7"/>
  <c r="N216" i="7" s="1"/>
  <c r="N219" i="7" s="1"/>
  <c r="N213" i="7"/>
  <c r="N218" i="7" s="1"/>
  <c r="N217" i="7"/>
  <c r="O207" i="7"/>
  <c r="O212" i="7" s="1"/>
  <c r="U214" i="7"/>
  <c r="V202" i="7"/>
  <c r="U178" i="7"/>
  <c r="T187" i="7"/>
  <c r="R183" i="7"/>
  <c r="S181" i="7" s="1"/>
  <c r="Q204" i="7"/>
  <c r="Q211" i="7"/>
  <c r="Q184" i="7"/>
  <c r="Q198" i="7" s="1"/>
  <c r="Q206" i="7" s="1"/>
  <c r="R135" i="7"/>
  <c r="S140" i="7"/>
  <c r="S126" i="7"/>
  <c r="S128" i="7" s="1"/>
  <c r="S139" i="7"/>
  <c r="U121" i="7"/>
  <c r="U120" i="7"/>
  <c r="V106" i="7"/>
  <c r="T145" i="7"/>
  <c r="U133" i="7"/>
  <c r="Q142" i="7"/>
  <c r="Q115" i="7"/>
  <c r="Q129" i="7" s="1"/>
  <c r="U136" i="7"/>
  <c r="V127" i="7"/>
  <c r="U125" i="7"/>
  <c r="O132" i="7"/>
  <c r="T118" i="7"/>
  <c r="U109" i="7"/>
  <c r="R114" i="7"/>
  <c r="S112" i="7" s="1"/>
  <c r="T119" i="7"/>
  <c r="P131" i="7"/>
  <c r="AJ32" i="4"/>
  <c r="AK32" i="4"/>
  <c r="AK31" i="4"/>
  <c r="AJ31" i="4"/>
  <c r="AJ28" i="4"/>
  <c r="AK28" i="4"/>
  <c r="AK27" i="4"/>
  <c r="AJ27" i="4"/>
  <c r="AJ22" i="4"/>
  <c r="AK22" i="4"/>
  <c r="AJ24" i="4"/>
  <c r="AK24" i="4"/>
  <c r="K33" i="4"/>
  <c r="E33" i="4"/>
  <c r="K29" i="4"/>
  <c r="E29" i="4"/>
  <c r="AN31" i="4"/>
  <c r="AM28" i="4"/>
  <c r="AR29" i="4"/>
  <c r="AS29" i="4"/>
  <c r="AT29" i="4"/>
  <c r="AM27" i="4"/>
  <c r="AO22" i="4"/>
  <c r="AQ33" i="4"/>
  <c r="X27" i="1"/>
  <c r="Y27" i="1"/>
  <c r="Z27" i="1"/>
  <c r="AA27" i="1"/>
  <c r="X31" i="1"/>
  <c r="Y31" i="1"/>
  <c r="Z31" i="1"/>
  <c r="AA31" i="1"/>
  <c r="X35" i="1"/>
  <c r="Y35" i="1"/>
  <c r="Z35" i="1"/>
  <c r="AA35" i="1"/>
  <c r="K34" i="1"/>
  <c r="L34" i="13" s="1"/>
  <c r="L34" i="1"/>
  <c r="M34" i="13" s="1"/>
  <c r="M34" i="1"/>
  <c r="N34" i="13" s="1"/>
  <c r="N34" i="1"/>
  <c r="O34" i="13" s="1"/>
  <c r="O34" i="1"/>
  <c r="P34" i="13" s="1"/>
  <c r="P34" i="1"/>
  <c r="Q34" i="13" s="1"/>
  <c r="Q34" i="1"/>
  <c r="R34" i="13" s="1"/>
  <c r="R34" i="1"/>
  <c r="S34" i="13" s="1"/>
  <c r="S34" i="1"/>
  <c r="T34" i="13" s="1"/>
  <c r="T34" i="1"/>
  <c r="U34" i="13" s="1"/>
  <c r="T33" i="1"/>
  <c r="U33" i="13" s="1"/>
  <c r="U35" i="13" s="1"/>
  <c r="S33" i="1"/>
  <c r="T33" i="13" s="1"/>
  <c r="T35" i="13" s="1"/>
  <c r="R33" i="1"/>
  <c r="S33" i="13" s="1"/>
  <c r="Q33" i="1"/>
  <c r="R33" i="13" s="1"/>
  <c r="P33" i="1"/>
  <c r="Q33" i="13" s="1"/>
  <c r="Q35" i="13" s="1"/>
  <c r="O33" i="1"/>
  <c r="P33" i="13" s="1"/>
  <c r="P35" i="13" s="1"/>
  <c r="N33" i="1"/>
  <c r="O33" i="13" s="1"/>
  <c r="O35" i="13" s="1"/>
  <c r="M33" i="1"/>
  <c r="N33" i="13" s="1"/>
  <c r="L33" i="1"/>
  <c r="M33" i="13" s="1"/>
  <c r="M35" i="13" s="1"/>
  <c r="K33" i="1"/>
  <c r="L33" i="13" s="1"/>
  <c r="L35" i="13" s="1"/>
  <c r="K30" i="1"/>
  <c r="L30" i="1"/>
  <c r="M30" i="13" s="1"/>
  <c r="M30" i="1"/>
  <c r="N30" i="13" s="1"/>
  <c r="N30" i="1"/>
  <c r="O30" i="13" s="1"/>
  <c r="O30" i="1"/>
  <c r="P30" i="13" s="1"/>
  <c r="P30" i="1"/>
  <c r="Q30" i="13" s="1"/>
  <c r="Q30" i="1"/>
  <c r="R30" i="13" s="1"/>
  <c r="R30" i="1"/>
  <c r="S30" i="13" s="1"/>
  <c r="S30" i="1"/>
  <c r="T30" i="13" s="1"/>
  <c r="T30" i="1"/>
  <c r="U30" i="13" s="1"/>
  <c r="T29" i="1"/>
  <c r="U29" i="13" s="1"/>
  <c r="U31" i="13" s="1"/>
  <c r="S29" i="1"/>
  <c r="T29" i="13" s="1"/>
  <c r="T31" i="13" s="1"/>
  <c r="R29" i="1"/>
  <c r="S29" i="13" s="1"/>
  <c r="Q29" i="1"/>
  <c r="R29" i="13" s="1"/>
  <c r="P29" i="1"/>
  <c r="Q29" i="13" s="1"/>
  <c r="Q31" i="13" s="1"/>
  <c r="O29" i="1"/>
  <c r="P29" i="13" s="1"/>
  <c r="P31" i="13" s="1"/>
  <c r="N29" i="1"/>
  <c r="O29" i="13" s="1"/>
  <c r="M29" i="1"/>
  <c r="N29" i="13" s="1"/>
  <c r="L29" i="1"/>
  <c r="M29" i="13" s="1"/>
  <c r="M31" i="13" s="1"/>
  <c r="K29" i="1"/>
  <c r="L29" i="13" s="1"/>
  <c r="K26" i="1"/>
  <c r="L26" i="13" s="1"/>
  <c r="L27" i="13" s="1"/>
  <c r="L26" i="1"/>
  <c r="M26" i="13" s="1"/>
  <c r="M27" i="13" s="1"/>
  <c r="M26" i="1"/>
  <c r="N26" i="13" s="1"/>
  <c r="N27" i="13" s="1"/>
  <c r="N26" i="1"/>
  <c r="O26" i="13" s="1"/>
  <c r="O27" i="13" s="1"/>
  <c r="O26" i="1"/>
  <c r="P26" i="13" s="1"/>
  <c r="P27" i="13" s="1"/>
  <c r="P26" i="1"/>
  <c r="Q26" i="13" s="1"/>
  <c r="Q27" i="13" s="1"/>
  <c r="Q26" i="1"/>
  <c r="R26" i="13" s="1"/>
  <c r="R27" i="13" s="1"/>
  <c r="R26" i="1"/>
  <c r="S26" i="13" s="1"/>
  <c r="S27" i="13" s="1"/>
  <c r="S26" i="1"/>
  <c r="T26" i="13" s="1"/>
  <c r="T27" i="13" s="1"/>
  <c r="T20" i="13" s="1"/>
  <c r="T19" i="13" s="1"/>
  <c r="T26" i="1"/>
  <c r="U26" i="13" s="1"/>
  <c r="U27" i="13" s="1"/>
  <c r="V24" i="1"/>
  <c r="W24" i="13" s="1"/>
  <c r="P20" i="13" l="1"/>
  <c r="P19" i="13" s="1"/>
  <c r="O31" i="13"/>
  <c r="S31" i="13"/>
  <c r="U30" i="1"/>
  <c r="V30" i="13" s="1"/>
  <c r="L30" i="13"/>
  <c r="L31" i="13" s="1"/>
  <c r="L20" i="13" s="1"/>
  <c r="S35" i="13"/>
  <c r="O20" i="13"/>
  <c r="O19" i="13" s="1"/>
  <c r="V328" i="7"/>
  <c r="T538" i="7"/>
  <c r="S20" i="13"/>
  <c r="S19" i="13" s="1"/>
  <c r="U20" i="13"/>
  <c r="U19" i="13" s="1"/>
  <c r="Q20" i="13"/>
  <c r="Q19" i="13" s="1"/>
  <c r="M20" i="13"/>
  <c r="N31" i="13"/>
  <c r="N20" i="13" s="1"/>
  <c r="N19" i="13" s="1"/>
  <c r="R31" i="13"/>
  <c r="N35" i="13"/>
  <c r="R35" i="13"/>
  <c r="T274" i="7"/>
  <c r="T263" i="7"/>
  <c r="T257" i="7" s="1"/>
  <c r="U265" i="7"/>
  <c r="V33" i="1"/>
  <c r="W33" i="13" s="1"/>
  <c r="W35" i="13" s="1"/>
  <c r="V34" i="1"/>
  <c r="W34" i="13" s="1"/>
  <c r="O31" i="1"/>
  <c r="M35" i="1"/>
  <c r="O148" i="7"/>
  <c r="Y21" i="6" s="1"/>
  <c r="P138" i="7"/>
  <c r="P143" i="7" s="1"/>
  <c r="P268" i="7"/>
  <c r="P269" i="7" s="1"/>
  <c r="P276" i="7" s="1"/>
  <c r="P281" i="7" s="1"/>
  <c r="C45" i="16"/>
  <c r="Q565" i="7"/>
  <c r="Q566" i="7" s="1"/>
  <c r="Q569" i="7" s="1"/>
  <c r="Q567" i="7"/>
  <c r="Q563" i="7"/>
  <c r="Q568" i="7" s="1"/>
  <c r="U564" i="7"/>
  <c r="V552" i="7"/>
  <c r="T559" i="7"/>
  <c r="T545" i="7"/>
  <c r="T547" i="7" s="1"/>
  <c r="T558" i="7"/>
  <c r="T561" i="7"/>
  <c r="T534" i="7"/>
  <c r="T548" i="7" s="1"/>
  <c r="T556" i="7" s="1"/>
  <c r="R550" i="7"/>
  <c r="R557" i="7" s="1"/>
  <c r="R562" i="7" s="1"/>
  <c r="Q551" i="7"/>
  <c r="S554" i="7"/>
  <c r="S549" i="7"/>
  <c r="U537" i="7"/>
  <c r="V528" i="7"/>
  <c r="U539" i="7"/>
  <c r="U540" i="7"/>
  <c r="V525" i="7"/>
  <c r="W555" i="7"/>
  <c r="X546" i="7"/>
  <c r="W544" i="7"/>
  <c r="U533" i="7"/>
  <c r="V531" i="7" s="1"/>
  <c r="Y476" i="7"/>
  <c r="Y474" i="7" s="1"/>
  <c r="X485" i="7"/>
  <c r="Q479" i="7"/>
  <c r="R484" i="7"/>
  <c r="T468" i="7"/>
  <c r="S489" i="7"/>
  <c r="S475" i="7"/>
  <c r="S477" i="7" s="1"/>
  <c r="S488" i="7"/>
  <c r="U494" i="7"/>
  <c r="V482" i="7"/>
  <c r="P480" i="7"/>
  <c r="P487" i="7" s="1"/>
  <c r="P492" i="7" s="1"/>
  <c r="S463" i="7"/>
  <c r="U470" i="7"/>
  <c r="U469" i="7"/>
  <c r="V455" i="7"/>
  <c r="R491" i="7"/>
  <c r="R464" i="7"/>
  <c r="R478" i="7" s="1"/>
  <c r="R486" i="7" s="1"/>
  <c r="T467" i="7"/>
  <c r="U458" i="7"/>
  <c r="V404" i="7"/>
  <c r="W406" i="7"/>
  <c r="V415" i="7"/>
  <c r="N357" i="7"/>
  <c r="O347" i="7"/>
  <c r="O352" i="7" s="1"/>
  <c r="O355" i="7" s="1"/>
  <c r="O356" i="7" s="1"/>
  <c r="O359" i="7" s="1"/>
  <c r="N353" i="7"/>
  <c r="N358" i="7" s="1"/>
  <c r="Q344" i="7"/>
  <c r="Q339" i="7"/>
  <c r="Y345" i="7"/>
  <c r="Z336" i="7"/>
  <c r="Y334" i="7"/>
  <c r="P340" i="7"/>
  <c r="S327" i="7"/>
  <c r="T318" i="7"/>
  <c r="V354" i="7"/>
  <c r="W342" i="7"/>
  <c r="T323" i="7"/>
  <c r="U321" i="7" s="1"/>
  <c r="W330" i="7"/>
  <c r="W329" i="7"/>
  <c r="X315" i="7"/>
  <c r="S351" i="7"/>
  <c r="S324" i="7"/>
  <c r="S338" i="7" s="1"/>
  <c r="S346" i="7" s="1"/>
  <c r="R349" i="7"/>
  <c r="R335" i="7"/>
  <c r="R337" i="7" s="1"/>
  <c r="R348" i="7"/>
  <c r="N287" i="7"/>
  <c r="U602" i="7"/>
  <c r="V600" i="7" s="1"/>
  <c r="N425" i="7"/>
  <c r="N426" i="7" s="1"/>
  <c r="N429" i="7" s="1"/>
  <c r="N423" i="7"/>
  <c r="N428" i="7" s="1"/>
  <c r="N427" i="7"/>
  <c r="V400" i="7"/>
  <c r="V399" i="7"/>
  <c r="W385" i="7"/>
  <c r="P410" i="7"/>
  <c r="P411" i="7" s="1"/>
  <c r="S397" i="7"/>
  <c r="T388" i="7"/>
  <c r="P634" i="7"/>
  <c r="P635" i="7" s="1"/>
  <c r="P638" i="7" s="1"/>
  <c r="P636" i="7"/>
  <c r="P632" i="7"/>
  <c r="P637" i="7" s="1"/>
  <c r="U398" i="7"/>
  <c r="V607" i="7"/>
  <c r="U424" i="7"/>
  <c r="V412" i="7"/>
  <c r="T630" i="7"/>
  <c r="T603" i="7"/>
  <c r="T617" i="7" s="1"/>
  <c r="T625" i="7" s="1"/>
  <c r="W624" i="7"/>
  <c r="X615" i="7"/>
  <c r="W613" i="7"/>
  <c r="R419" i="7"/>
  <c r="R405" i="7"/>
  <c r="R407" i="7" s="1"/>
  <c r="R418" i="7"/>
  <c r="V633" i="7"/>
  <c r="W621" i="7"/>
  <c r="T606" i="7"/>
  <c r="U597" i="7"/>
  <c r="R618" i="7"/>
  <c r="R623" i="7"/>
  <c r="U393" i="7"/>
  <c r="V391" i="7" s="1"/>
  <c r="Q619" i="7"/>
  <c r="Q626" i="7" s="1"/>
  <c r="Q631" i="7" s="1"/>
  <c r="O417" i="7"/>
  <c r="O422" i="7" s="1"/>
  <c r="S628" i="7"/>
  <c r="S614" i="7"/>
  <c r="S616" i="7" s="1"/>
  <c r="S627" i="7"/>
  <c r="W609" i="7"/>
  <c r="X594" i="7"/>
  <c r="W608" i="7"/>
  <c r="P620" i="7"/>
  <c r="Q414" i="7"/>
  <c r="Q409" i="7"/>
  <c r="T421" i="7"/>
  <c r="T394" i="7"/>
  <c r="T408" i="7" s="1"/>
  <c r="T416" i="7" s="1"/>
  <c r="O144" i="7"/>
  <c r="O149" i="7" s="1"/>
  <c r="R252" i="7"/>
  <c r="S250" i="7" s="1"/>
  <c r="R278" i="7"/>
  <c r="R264" i="7"/>
  <c r="R266" i="7" s="1"/>
  <c r="R277" i="7"/>
  <c r="V259" i="7"/>
  <c r="V258" i="7"/>
  <c r="W244" i="7"/>
  <c r="O270" i="7"/>
  <c r="O284" i="7"/>
  <c r="O285" i="7" s="1"/>
  <c r="O288" i="7" s="1"/>
  <c r="O282" i="7"/>
  <c r="O287" i="7" s="1"/>
  <c r="O286" i="7"/>
  <c r="Q273" i="7"/>
  <c r="Q280" i="7"/>
  <c r="Q253" i="7"/>
  <c r="Q267" i="7" s="1"/>
  <c r="Q275" i="7" s="1"/>
  <c r="S256" i="7"/>
  <c r="T247" i="7"/>
  <c r="V283" i="7"/>
  <c r="W271" i="7"/>
  <c r="S183" i="7"/>
  <c r="T181" i="7" s="1"/>
  <c r="Q199" i="7"/>
  <c r="R211" i="7"/>
  <c r="R184" i="7"/>
  <c r="R198" i="7" s="1"/>
  <c r="R206" i="7" s="1"/>
  <c r="V214" i="7"/>
  <c r="W202" i="7"/>
  <c r="S205" i="7"/>
  <c r="T196" i="7"/>
  <c r="S194" i="7"/>
  <c r="S188" i="7" s="1"/>
  <c r="S195" i="7" s="1"/>
  <c r="S197" i="7" s="1"/>
  <c r="T209" i="7"/>
  <c r="T208" i="7"/>
  <c r="U189" i="7"/>
  <c r="U190" i="7"/>
  <c r="V175" i="7"/>
  <c r="R204" i="7"/>
  <c r="U187" i="7"/>
  <c r="V178" i="7"/>
  <c r="O215" i="7"/>
  <c r="O216" i="7" s="1"/>
  <c r="O219" i="7" s="1"/>
  <c r="O217" i="7"/>
  <c r="O213" i="7"/>
  <c r="O218" i="7" s="1"/>
  <c r="P200" i="7"/>
  <c r="P207" i="7" s="1"/>
  <c r="P212" i="7" s="1"/>
  <c r="S114" i="7"/>
  <c r="T112" i="7" s="1"/>
  <c r="T126" i="7"/>
  <c r="T128" i="7" s="1"/>
  <c r="T140" i="7"/>
  <c r="T139" i="7"/>
  <c r="V120" i="7"/>
  <c r="V121" i="7"/>
  <c r="W106" i="7"/>
  <c r="S135" i="7"/>
  <c r="P146" i="7"/>
  <c r="P147" i="7" s="1"/>
  <c r="P150" i="7" s="1"/>
  <c r="P144" i="7"/>
  <c r="P148" i="7"/>
  <c r="R142" i="7"/>
  <c r="R115" i="7"/>
  <c r="R129" i="7" s="1"/>
  <c r="Q137" i="7"/>
  <c r="Q130" i="7"/>
  <c r="U119" i="7"/>
  <c r="P132" i="7"/>
  <c r="U118" i="7"/>
  <c r="V109" i="7"/>
  <c r="V136" i="7"/>
  <c r="W127" i="7"/>
  <c r="V125" i="7"/>
  <c r="U145" i="7"/>
  <c r="V133" i="7"/>
  <c r="AS33" i="4"/>
  <c r="AU32" i="4"/>
  <c r="O35" i="1"/>
  <c r="Q35" i="1"/>
  <c r="N31" i="1"/>
  <c r="V26" i="1"/>
  <c r="W26" i="13" s="1"/>
  <c r="N35" i="1"/>
  <c r="P35" i="1"/>
  <c r="P27" i="1"/>
  <c r="V30" i="1"/>
  <c r="W30" i="13" s="1"/>
  <c r="K25" i="4"/>
  <c r="AS25" i="4"/>
  <c r="M27" i="1"/>
  <c r="O27" i="1"/>
  <c r="M31" i="1"/>
  <c r="X20" i="1"/>
  <c r="U26" i="1"/>
  <c r="V26" i="13" s="1"/>
  <c r="N27" i="1"/>
  <c r="V29" i="1"/>
  <c r="W29" i="13" s="1"/>
  <c r="W31" i="13" s="1"/>
  <c r="P31" i="1"/>
  <c r="U34" i="1"/>
  <c r="V34" i="13" s="1"/>
  <c r="F29" i="4"/>
  <c r="Z20" i="1"/>
  <c r="AA20" i="1"/>
  <c r="G78" i="10" s="1"/>
  <c r="Y20" i="1"/>
  <c r="L25" i="4"/>
  <c r="U24" i="1"/>
  <c r="V24" i="13" s="1"/>
  <c r="U29" i="1"/>
  <c r="J29" i="4"/>
  <c r="U33" i="1"/>
  <c r="V33" i="13" s="1"/>
  <c r="V35" i="13" s="1"/>
  <c r="AU22" i="4"/>
  <c r="L33" i="4"/>
  <c r="F33" i="4"/>
  <c r="D33" i="4"/>
  <c r="AT33" i="4"/>
  <c r="AR33" i="4"/>
  <c r="L29" i="4"/>
  <c r="D29" i="4"/>
  <c r="AU24" i="4"/>
  <c r="AU23" i="4"/>
  <c r="AU28" i="4"/>
  <c r="V23" i="1"/>
  <c r="W23" i="13" s="1"/>
  <c r="W27" i="13" s="1"/>
  <c r="U23" i="1"/>
  <c r="V23" i="13" s="1"/>
  <c r="I34" i="6"/>
  <c r="J34" i="6"/>
  <c r="A34" i="6"/>
  <c r="B34" i="6"/>
  <c r="A32" i="4"/>
  <c r="B32" i="4"/>
  <c r="A34" i="13"/>
  <c r="B34" i="13"/>
  <c r="Q39" i="1"/>
  <c r="Q36" i="1" s="1"/>
  <c r="R39" i="1"/>
  <c r="R36" i="1" s="1"/>
  <c r="R31" i="1"/>
  <c r="D13" i="11"/>
  <c r="E13" i="11" s="1"/>
  <c r="F13" i="11" s="1"/>
  <c r="G13" i="11" s="1"/>
  <c r="A33" i="3"/>
  <c r="B33" i="3"/>
  <c r="AB34" i="1"/>
  <c r="A24" i="13"/>
  <c r="B24" i="13"/>
  <c r="A25" i="13"/>
  <c r="B25" i="13"/>
  <c r="A26" i="13"/>
  <c r="B26" i="13"/>
  <c r="B27" i="13"/>
  <c r="A28" i="13"/>
  <c r="B28" i="13"/>
  <c r="A29" i="13"/>
  <c r="B29" i="13"/>
  <c r="A30" i="13"/>
  <c r="B30" i="13"/>
  <c r="B31" i="13"/>
  <c r="A32" i="13"/>
  <c r="B32" i="13"/>
  <c r="A33" i="13"/>
  <c r="B33" i="13"/>
  <c r="R36" i="6"/>
  <c r="T36" i="6"/>
  <c r="I33" i="6"/>
  <c r="J33" i="6"/>
  <c r="A33" i="6"/>
  <c r="B33" i="6"/>
  <c r="B32" i="6"/>
  <c r="A32" i="6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31" i="4"/>
  <c r="B31" i="4"/>
  <c r="B30" i="4"/>
  <c r="A30" i="4"/>
  <c r="V34" i="3"/>
  <c r="W34" i="3"/>
  <c r="X34" i="3"/>
  <c r="Y34" i="3"/>
  <c r="AA34" i="3"/>
  <c r="AB34" i="3"/>
  <c r="AC34" i="3"/>
  <c r="AD34" i="3"/>
  <c r="AE34" i="3"/>
  <c r="AF34" i="3"/>
  <c r="AG34" i="3"/>
  <c r="AH34" i="3"/>
  <c r="K34" i="3"/>
  <c r="L34" i="3"/>
  <c r="M34" i="3"/>
  <c r="N34" i="3"/>
  <c r="O34" i="3"/>
  <c r="P34" i="3"/>
  <c r="J34" i="3"/>
  <c r="A32" i="3"/>
  <c r="B32" i="3"/>
  <c r="AB33" i="1"/>
  <c r="K35" i="1"/>
  <c r="L35" i="1"/>
  <c r="R35" i="1"/>
  <c r="S35" i="1"/>
  <c r="T35" i="1"/>
  <c r="W35" i="1"/>
  <c r="F31" i="13"/>
  <c r="T30" i="6"/>
  <c r="I28" i="6"/>
  <c r="J28" i="6"/>
  <c r="A28" i="6"/>
  <c r="B28" i="6"/>
  <c r="B27" i="6"/>
  <c r="A27" i="6"/>
  <c r="B16" i="12"/>
  <c r="D27" i="10"/>
  <c r="D27" i="16" s="1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B25" i="4"/>
  <c r="A26" i="4"/>
  <c r="B26" i="4"/>
  <c r="A27" i="4"/>
  <c r="B27" i="4"/>
  <c r="A28" i="4"/>
  <c r="B28" i="4"/>
  <c r="V30" i="3"/>
  <c r="W30" i="3"/>
  <c r="X30" i="3"/>
  <c r="Y30" i="3"/>
  <c r="AA30" i="3"/>
  <c r="AB30" i="3"/>
  <c r="AC30" i="3"/>
  <c r="AD30" i="3"/>
  <c r="AE30" i="3"/>
  <c r="AF30" i="3"/>
  <c r="AG30" i="3"/>
  <c r="AH30" i="3"/>
  <c r="J30" i="3"/>
  <c r="B29" i="3"/>
  <c r="A28" i="3"/>
  <c r="A29" i="3"/>
  <c r="D31" i="1"/>
  <c r="E31" i="1"/>
  <c r="K31" i="1"/>
  <c r="L31" i="1"/>
  <c r="Q31" i="1"/>
  <c r="S31" i="1"/>
  <c r="T31" i="1"/>
  <c r="W31" i="1"/>
  <c r="AB30" i="1"/>
  <c r="L19" i="13" l="1"/>
  <c r="U31" i="1"/>
  <c r="V29" i="13"/>
  <c r="V31" i="13" s="1"/>
  <c r="X19" i="1"/>
  <c r="D78" i="10"/>
  <c r="R20" i="13"/>
  <c r="R19" i="13" s="1"/>
  <c r="M19" i="13"/>
  <c r="W19" i="13" s="1"/>
  <c r="W20" i="13"/>
  <c r="H33" i="1"/>
  <c r="AC33" i="13"/>
  <c r="V27" i="13"/>
  <c r="Z19" i="1"/>
  <c r="I24" i="5" s="1"/>
  <c r="F78" i="10"/>
  <c r="W607" i="7"/>
  <c r="H30" i="1"/>
  <c r="AC30" i="13"/>
  <c r="H34" i="1"/>
  <c r="AC34" i="13"/>
  <c r="Y19" i="1"/>
  <c r="E78" i="10"/>
  <c r="O20" i="1"/>
  <c r="O19" i="1" s="1"/>
  <c r="G23" i="5" s="1"/>
  <c r="AS18" i="4"/>
  <c r="AS17" i="4" s="1"/>
  <c r="U274" i="7"/>
  <c r="V265" i="7"/>
  <c r="U263" i="7"/>
  <c r="U257" i="7" s="1"/>
  <c r="U35" i="1"/>
  <c r="W328" i="7"/>
  <c r="U468" i="7"/>
  <c r="P20" i="1"/>
  <c r="P19" i="1" s="1"/>
  <c r="H23" i="5" s="1"/>
  <c r="N20" i="1"/>
  <c r="N19" i="1" s="1"/>
  <c r="F23" i="5" s="1"/>
  <c r="R199" i="7"/>
  <c r="P149" i="7"/>
  <c r="G24" i="5"/>
  <c r="E24" i="5"/>
  <c r="B38" i="12"/>
  <c r="P347" i="7"/>
  <c r="P352" i="7" s="1"/>
  <c r="P353" i="7" s="1"/>
  <c r="P358" i="7" s="1"/>
  <c r="O353" i="7"/>
  <c r="O358" i="7" s="1"/>
  <c r="R565" i="7"/>
  <c r="R566" i="7" s="1"/>
  <c r="R569" i="7" s="1"/>
  <c r="R563" i="7"/>
  <c r="R568" i="7" s="1"/>
  <c r="R567" i="7"/>
  <c r="S550" i="7"/>
  <c r="S557" i="7" s="1"/>
  <c r="S562" i="7" s="1"/>
  <c r="W528" i="7"/>
  <c r="V537" i="7"/>
  <c r="X555" i="7"/>
  <c r="Y546" i="7"/>
  <c r="X544" i="7"/>
  <c r="U538" i="7"/>
  <c r="U545" i="7" s="1"/>
  <c r="U547" i="7" s="1"/>
  <c r="R551" i="7"/>
  <c r="T554" i="7"/>
  <c r="T549" i="7"/>
  <c r="V533" i="7"/>
  <c r="W531" i="7"/>
  <c r="O357" i="7"/>
  <c r="U561" i="7"/>
  <c r="U534" i="7"/>
  <c r="U548" i="7" s="1"/>
  <c r="U556" i="7" s="1"/>
  <c r="V540" i="7"/>
  <c r="V539" i="7"/>
  <c r="W525" i="7"/>
  <c r="U559" i="7"/>
  <c r="U558" i="7"/>
  <c r="V564" i="7"/>
  <c r="W552" i="7"/>
  <c r="P481" i="7"/>
  <c r="Z476" i="7"/>
  <c r="Y485" i="7"/>
  <c r="T475" i="7"/>
  <c r="T477" i="7" s="1"/>
  <c r="T489" i="7"/>
  <c r="T488" i="7"/>
  <c r="V470" i="7"/>
  <c r="V469" i="7"/>
  <c r="W455" i="7"/>
  <c r="S491" i="7"/>
  <c r="S464" i="7"/>
  <c r="S478" i="7" s="1"/>
  <c r="S486" i="7" s="1"/>
  <c r="P495" i="7"/>
  <c r="P496" i="7" s="1"/>
  <c r="P499" i="7" s="1"/>
  <c r="P493" i="7"/>
  <c r="P498" i="7" s="1"/>
  <c r="P497" i="7"/>
  <c r="S484" i="7"/>
  <c r="R479" i="7"/>
  <c r="V458" i="7"/>
  <c r="U467" i="7"/>
  <c r="T461" i="7"/>
  <c r="V494" i="7"/>
  <c r="W482" i="7"/>
  <c r="Q480" i="7"/>
  <c r="Q487" i="7" s="1"/>
  <c r="Q492" i="7" s="1"/>
  <c r="V398" i="7"/>
  <c r="W415" i="7"/>
  <c r="X406" i="7"/>
  <c r="W404" i="7"/>
  <c r="P341" i="7"/>
  <c r="U323" i="7"/>
  <c r="V321" i="7" s="1"/>
  <c r="R344" i="7"/>
  <c r="R339" i="7"/>
  <c r="S349" i="7"/>
  <c r="S335" i="7"/>
  <c r="S337" i="7" s="1"/>
  <c r="S348" i="7"/>
  <c r="Z345" i="7"/>
  <c r="Z334" i="7"/>
  <c r="AA336" i="7"/>
  <c r="X330" i="7"/>
  <c r="X329" i="7"/>
  <c r="Y315" i="7"/>
  <c r="T351" i="7"/>
  <c r="T324" i="7"/>
  <c r="T338" i="7" s="1"/>
  <c r="T346" i="7" s="1"/>
  <c r="W354" i="7"/>
  <c r="X342" i="7"/>
  <c r="Q340" i="7"/>
  <c r="T327" i="7"/>
  <c r="U318" i="7"/>
  <c r="Q634" i="7"/>
  <c r="Q635" i="7" s="1"/>
  <c r="Q638" i="7" s="1"/>
  <c r="Q636" i="7"/>
  <c r="Q632" i="7"/>
  <c r="Q637" i="7" s="1"/>
  <c r="V602" i="7"/>
  <c r="W600" i="7" s="1"/>
  <c r="S623" i="7"/>
  <c r="S618" i="7"/>
  <c r="V597" i="7"/>
  <c r="U606" i="7"/>
  <c r="Q410" i="7"/>
  <c r="X609" i="7"/>
  <c r="X608" i="7"/>
  <c r="Y594" i="7"/>
  <c r="O425" i="7"/>
  <c r="O426" i="7" s="1"/>
  <c r="O429" i="7" s="1"/>
  <c r="O427" i="7"/>
  <c r="O423" i="7"/>
  <c r="O428" i="7" s="1"/>
  <c r="U421" i="7"/>
  <c r="U394" i="7"/>
  <c r="U408" i="7" s="1"/>
  <c r="U416" i="7" s="1"/>
  <c r="T628" i="7"/>
  <c r="T614" i="7"/>
  <c r="T616" i="7" s="1"/>
  <c r="T627" i="7"/>
  <c r="X624" i="7"/>
  <c r="X613" i="7"/>
  <c r="Y615" i="7"/>
  <c r="V424" i="7"/>
  <c r="W412" i="7"/>
  <c r="T397" i="7"/>
  <c r="U388" i="7"/>
  <c r="W399" i="7"/>
  <c r="W400" i="7"/>
  <c r="X385" i="7"/>
  <c r="V393" i="7"/>
  <c r="W391" i="7" s="1"/>
  <c r="Q620" i="7"/>
  <c r="W633" i="7"/>
  <c r="X621" i="7"/>
  <c r="R414" i="7"/>
  <c r="R409" i="7"/>
  <c r="S419" i="7"/>
  <c r="S405" i="7"/>
  <c r="S407" i="7" s="1"/>
  <c r="S418" i="7"/>
  <c r="R619" i="7"/>
  <c r="R626" i="7" s="1"/>
  <c r="R631" i="7" s="1"/>
  <c r="P417" i="7"/>
  <c r="P422" i="7" s="1"/>
  <c r="U630" i="7"/>
  <c r="U603" i="7"/>
  <c r="U617" i="7" s="1"/>
  <c r="U625" i="7" s="1"/>
  <c r="P284" i="7"/>
  <c r="P285" i="7" s="1"/>
  <c r="P288" i="7" s="1"/>
  <c r="P282" i="7"/>
  <c r="P287" i="7" s="1"/>
  <c r="P286" i="7"/>
  <c r="P270" i="7"/>
  <c r="Q268" i="7"/>
  <c r="W259" i="7"/>
  <c r="X244" i="7"/>
  <c r="W258" i="7"/>
  <c r="R273" i="7"/>
  <c r="W283" i="7"/>
  <c r="X271" i="7"/>
  <c r="U247" i="7"/>
  <c r="T256" i="7"/>
  <c r="S278" i="7"/>
  <c r="S264" i="7"/>
  <c r="S266" i="7" s="1"/>
  <c r="S277" i="7"/>
  <c r="S252" i="7"/>
  <c r="T250" i="7" s="1"/>
  <c r="R280" i="7"/>
  <c r="R253" i="7"/>
  <c r="R267" i="7" s="1"/>
  <c r="R275" i="7" s="1"/>
  <c r="T183" i="7"/>
  <c r="U181" i="7" s="1"/>
  <c r="U209" i="7"/>
  <c r="U208" i="7"/>
  <c r="R200" i="7"/>
  <c r="W214" i="7"/>
  <c r="X202" i="7"/>
  <c r="Q200" i="7"/>
  <c r="Q207" i="7" s="1"/>
  <c r="Q212" i="7" s="1"/>
  <c r="P215" i="7"/>
  <c r="P216" i="7" s="1"/>
  <c r="P219" i="7" s="1"/>
  <c r="P217" i="7"/>
  <c r="P213" i="7"/>
  <c r="P218" i="7" s="1"/>
  <c r="P201" i="7"/>
  <c r="S204" i="7"/>
  <c r="V187" i="7"/>
  <c r="W178" i="7"/>
  <c r="V189" i="7"/>
  <c r="V190" i="7"/>
  <c r="W175" i="7"/>
  <c r="T205" i="7"/>
  <c r="U196" i="7"/>
  <c r="T194" i="7"/>
  <c r="T188" i="7" s="1"/>
  <c r="T195" i="7" s="1"/>
  <c r="T197" i="7" s="1"/>
  <c r="S211" i="7"/>
  <c r="S184" i="7"/>
  <c r="S198" i="7" s="1"/>
  <c r="S206" i="7" s="1"/>
  <c r="T114" i="7"/>
  <c r="Q131" i="7"/>
  <c r="Q138" i="7" s="1"/>
  <c r="Q143" i="7" s="1"/>
  <c r="U140" i="7"/>
  <c r="U126" i="7"/>
  <c r="U128" i="7" s="1"/>
  <c r="U139" i="7"/>
  <c r="W120" i="7"/>
  <c r="W121" i="7"/>
  <c r="X106" i="7"/>
  <c r="W136" i="7"/>
  <c r="X127" i="7"/>
  <c r="W125" i="7"/>
  <c r="R137" i="7"/>
  <c r="R130" i="7"/>
  <c r="T135" i="7"/>
  <c r="V118" i="7"/>
  <c r="W109" i="7"/>
  <c r="V145" i="7"/>
  <c r="W133" i="7"/>
  <c r="V119" i="7"/>
  <c r="S142" i="7"/>
  <c r="S115" i="7"/>
  <c r="S129" i="7" s="1"/>
  <c r="Q34" i="6"/>
  <c r="Q33" i="3"/>
  <c r="Q32" i="3"/>
  <c r="Q33" i="6"/>
  <c r="Q28" i="6"/>
  <c r="Q29" i="3"/>
  <c r="R29" i="3" s="1"/>
  <c r="E27" i="10"/>
  <c r="E27" i="16" s="1"/>
  <c r="M20" i="1"/>
  <c r="M19" i="1" s="1"/>
  <c r="E23" i="5" s="1"/>
  <c r="J33" i="4"/>
  <c r="I33" i="4"/>
  <c r="I29" i="4"/>
  <c r="I25" i="4"/>
  <c r="J35" i="1"/>
  <c r="AR18" i="4"/>
  <c r="AR17" i="4" s="1"/>
  <c r="J25" i="4"/>
  <c r="C29" i="4"/>
  <c r="C33" i="4"/>
  <c r="AA32" i="4"/>
  <c r="AP33" i="4"/>
  <c r="V31" i="1"/>
  <c r="V35" i="1"/>
  <c r="T32" i="3"/>
  <c r="D23" i="11"/>
  <c r="D25" i="15" s="1"/>
  <c r="B21" i="12"/>
  <c r="AU31" i="4"/>
  <c r="AA28" i="4"/>
  <c r="AB35" i="1"/>
  <c r="H35" i="1"/>
  <c r="G23" i="6"/>
  <c r="E23" i="6"/>
  <c r="F27" i="13"/>
  <c r="B23" i="13"/>
  <c r="A23" i="13"/>
  <c r="I30" i="1" l="1"/>
  <c r="I30" i="13"/>
  <c r="AC35" i="13"/>
  <c r="I34" i="13"/>
  <c r="I34" i="1"/>
  <c r="I33" i="13"/>
  <c r="I35" i="13" s="1"/>
  <c r="I33" i="1"/>
  <c r="V20" i="13"/>
  <c r="V19" i="13"/>
  <c r="V263" i="7"/>
  <c r="V257" i="7" s="1"/>
  <c r="W265" i="7"/>
  <c r="V274" i="7"/>
  <c r="E77" i="16"/>
  <c r="E39" i="11"/>
  <c r="F77" i="16"/>
  <c r="F39" i="11"/>
  <c r="S479" i="7"/>
  <c r="V538" i="7"/>
  <c r="V545" i="7" s="1"/>
  <c r="V547" i="7" s="1"/>
  <c r="P357" i="7"/>
  <c r="P355" i="7"/>
  <c r="P356" i="7" s="1"/>
  <c r="P359" i="7" s="1"/>
  <c r="Q347" i="7"/>
  <c r="Q352" i="7" s="1"/>
  <c r="Q355" i="7" s="1"/>
  <c r="Q356" i="7" s="1"/>
  <c r="Q359" i="7" s="1"/>
  <c r="S565" i="7"/>
  <c r="S566" i="7" s="1"/>
  <c r="S569" i="7" s="1"/>
  <c r="S563" i="7"/>
  <c r="S568" i="7" s="1"/>
  <c r="S567" i="7"/>
  <c r="U554" i="7"/>
  <c r="U549" i="7"/>
  <c r="W564" i="7"/>
  <c r="X552" i="7"/>
  <c r="V561" i="7"/>
  <c r="V534" i="7"/>
  <c r="V548" i="7" s="1"/>
  <c r="V556" i="7" s="1"/>
  <c r="S551" i="7"/>
  <c r="W540" i="7"/>
  <c r="W539" i="7"/>
  <c r="X525" i="7"/>
  <c r="T550" i="7"/>
  <c r="T557" i="7" s="1"/>
  <c r="T562" i="7" s="1"/>
  <c r="V559" i="7"/>
  <c r="V558" i="7"/>
  <c r="X528" i="7"/>
  <c r="W537" i="7"/>
  <c r="W533" i="7"/>
  <c r="X531" i="7" s="1"/>
  <c r="Y555" i="7"/>
  <c r="Y544" i="7"/>
  <c r="Z546" i="7"/>
  <c r="Z474" i="7"/>
  <c r="Z485" i="7"/>
  <c r="AA476" i="7"/>
  <c r="AA485" i="7" s="1"/>
  <c r="W494" i="7"/>
  <c r="X482" i="7"/>
  <c r="Q495" i="7"/>
  <c r="Q496" i="7" s="1"/>
  <c r="Q499" i="7" s="1"/>
  <c r="Q493" i="7"/>
  <c r="Q498" i="7" s="1"/>
  <c r="Q497" i="7"/>
  <c r="T463" i="7"/>
  <c r="U461" i="7" s="1"/>
  <c r="S480" i="7"/>
  <c r="Q481" i="7"/>
  <c r="U489" i="7"/>
  <c r="U475" i="7"/>
  <c r="U477" i="7" s="1"/>
  <c r="U488" i="7"/>
  <c r="W470" i="7"/>
  <c r="W469" i="7"/>
  <c r="X455" i="7"/>
  <c r="V467" i="7"/>
  <c r="W458" i="7"/>
  <c r="R480" i="7"/>
  <c r="R487" i="7" s="1"/>
  <c r="R492" i="7" s="1"/>
  <c r="V468" i="7"/>
  <c r="T484" i="7"/>
  <c r="X415" i="7"/>
  <c r="Y406" i="7"/>
  <c r="X404" i="7"/>
  <c r="V318" i="7"/>
  <c r="U327" i="7"/>
  <c r="X354" i="7"/>
  <c r="Y342" i="7"/>
  <c r="X328" i="7"/>
  <c r="R340" i="7"/>
  <c r="T349" i="7"/>
  <c r="T335" i="7"/>
  <c r="T337" i="7" s="1"/>
  <c r="T348" i="7"/>
  <c r="AA345" i="7"/>
  <c r="AA334" i="7"/>
  <c r="S339" i="7"/>
  <c r="S344" i="7"/>
  <c r="V323" i="7"/>
  <c r="W321" i="7" s="1"/>
  <c r="Q341" i="7"/>
  <c r="Y329" i="7"/>
  <c r="Y330" i="7"/>
  <c r="Z315" i="7"/>
  <c r="U351" i="7"/>
  <c r="U324" i="7"/>
  <c r="U338" i="7" s="1"/>
  <c r="U346" i="7" s="1"/>
  <c r="R634" i="7"/>
  <c r="R635" i="7" s="1"/>
  <c r="R638" i="7" s="1"/>
  <c r="R636" i="7"/>
  <c r="R632" i="7"/>
  <c r="R637" i="7" s="1"/>
  <c r="X399" i="7"/>
  <c r="Y385" i="7"/>
  <c r="X400" i="7"/>
  <c r="T419" i="7"/>
  <c r="T405" i="7"/>
  <c r="T407" i="7" s="1"/>
  <c r="T418" i="7"/>
  <c r="S414" i="7"/>
  <c r="S409" i="7"/>
  <c r="W393" i="7"/>
  <c r="X391" i="7" s="1"/>
  <c r="R620" i="7"/>
  <c r="R410" i="7"/>
  <c r="R411" i="7" s="1"/>
  <c r="V421" i="7"/>
  <c r="V394" i="7"/>
  <c r="V408" i="7" s="1"/>
  <c r="V416" i="7" s="1"/>
  <c r="U397" i="7"/>
  <c r="V388" i="7"/>
  <c r="Y624" i="7"/>
  <c r="Z615" i="7"/>
  <c r="Y613" i="7"/>
  <c r="T623" i="7"/>
  <c r="T618" i="7"/>
  <c r="X607" i="7"/>
  <c r="U614" i="7"/>
  <c r="U616" i="7" s="1"/>
  <c r="U628" i="7"/>
  <c r="U627" i="7"/>
  <c r="V630" i="7"/>
  <c r="V603" i="7"/>
  <c r="V617" i="7" s="1"/>
  <c r="V625" i="7" s="1"/>
  <c r="V606" i="7"/>
  <c r="W597" i="7"/>
  <c r="X633" i="7"/>
  <c r="Y621" i="7"/>
  <c r="W424" i="7"/>
  <c r="X412" i="7"/>
  <c r="Q417" i="7"/>
  <c r="Q422" i="7" s="1"/>
  <c r="S619" i="7"/>
  <c r="S626" i="7" s="1"/>
  <c r="S631" i="7" s="1"/>
  <c r="P425" i="7"/>
  <c r="P426" i="7" s="1"/>
  <c r="P429" i="7" s="1"/>
  <c r="P423" i="7"/>
  <c r="P428" i="7" s="1"/>
  <c r="P427" i="7"/>
  <c r="W398" i="7"/>
  <c r="Y609" i="7"/>
  <c r="Y608" i="7"/>
  <c r="Z594" i="7"/>
  <c r="Q411" i="7"/>
  <c r="W602" i="7"/>
  <c r="X600" i="7" s="1"/>
  <c r="T252" i="7"/>
  <c r="U250" i="7" s="1"/>
  <c r="X283" i="7"/>
  <c r="Y271" i="7"/>
  <c r="T278" i="7"/>
  <c r="T264" i="7"/>
  <c r="T266" i="7" s="1"/>
  <c r="T277" i="7"/>
  <c r="R268" i="7"/>
  <c r="S280" i="7"/>
  <c r="S253" i="7"/>
  <c r="S267" i="7" s="1"/>
  <c r="S275" i="7" s="1"/>
  <c r="X259" i="7"/>
  <c r="X258" i="7"/>
  <c r="Y244" i="7"/>
  <c r="S273" i="7"/>
  <c r="U256" i="7"/>
  <c r="V247" i="7"/>
  <c r="Q269" i="7"/>
  <c r="Q276" i="7" s="1"/>
  <c r="Q281" i="7" s="1"/>
  <c r="S199" i="7"/>
  <c r="S200" i="7" s="1"/>
  <c r="U183" i="7"/>
  <c r="V181" i="7" s="1"/>
  <c r="U205" i="7"/>
  <c r="V196" i="7"/>
  <c r="U194" i="7"/>
  <c r="U188" i="7" s="1"/>
  <c r="U195" i="7" s="1"/>
  <c r="U197" i="7" s="1"/>
  <c r="W190" i="7"/>
  <c r="W189" i="7"/>
  <c r="X175" i="7"/>
  <c r="V209" i="7"/>
  <c r="V208" i="7"/>
  <c r="Q201" i="7"/>
  <c r="T204" i="7"/>
  <c r="Q215" i="7"/>
  <c r="Q216" i="7" s="1"/>
  <c r="Q219" i="7" s="1"/>
  <c r="Q213" i="7"/>
  <c r="Q218" i="7" s="1"/>
  <c r="Q217" i="7"/>
  <c r="R207" i="7"/>
  <c r="R212" i="7" s="1"/>
  <c r="X214" i="7"/>
  <c r="Y202" i="7"/>
  <c r="R201" i="7"/>
  <c r="X178" i="7"/>
  <c r="W187" i="7"/>
  <c r="T211" i="7"/>
  <c r="T184" i="7"/>
  <c r="T198" i="7" s="1"/>
  <c r="T206" i="7" s="1"/>
  <c r="Q132" i="7"/>
  <c r="W118" i="7"/>
  <c r="X109" i="7"/>
  <c r="R131" i="7"/>
  <c r="R138" i="7" s="1"/>
  <c r="R143" i="7" s="1"/>
  <c r="Q146" i="7"/>
  <c r="Q147" i="7" s="1"/>
  <c r="Q150" i="7" s="1"/>
  <c r="Q144" i="7"/>
  <c r="Q149" i="7" s="1"/>
  <c r="Q148" i="7"/>
  <c r="V140" i="7"/>
  <c r="V126" i="7"/>
  <c r="V128" i="7" s="1"/>
  <c r="V139" i="7"/>
  <c r="X121" i="7"/>
  <c r="Y106" i="7"/>
  <c r="X120" i="7"/>
  <c r="S137" i="7"/>
  <c r="S130" i="7"/>
  <c r="W145" i="7"/>
  <c r="X133" i="7"/>
  <c r="U135" i="7"/>
  <c r="T142" i="7"/>
  <c r="T115" i="7"/>
  <c r="T129" i="7" s="1"/>
  <c r="X136" i="7"/>
  <c r="X125" i="7"/>
  <c r="Y127" i="7"/>
  <c r="W119" i="7"/>
  <c r="U112" i="7"/>
  <c r="F27" i="10"/>
  <c r="F27" i="16" s="1"/>
  <c r="J18" i="4"/>
  <c r="J17" i="4" s="1"/>
  <c r="E23" i="11"/>
  <c r="B43" i="12"/>
  <c r="I18" i="4"/>
  <c r="I17" i="4" s="1"/>
  <c r="T29" i="3"/>
  <c r="S29" i="3"/>
  <c r="I35" i="1"/>
  <c r="H33" i="4"/>
  <c r="AA31" i="4"/>
  <c r="AA33" i="4" s="1"/>
  <c r="AU33" i="4"/>
  <c r="R32" i="3"/>
  <c r="S32" i="3"/>
  <c r="S33" i="3"/>
  <c r="R33" i="3"/>
  <c r="T33" i="3"/>
  <c r="B65" i="7"/>
  <c r="C42" i="7"/>
  <c r="C48" i="7" s="1"/>
  <c r="C65" i="7" s="1"/>
  <c r="J33" i="13" l="1"/>
  <c r="C39" i="19"/>
  <c r="N39" i="19" s="1"/>
  <c r="S33" i="6"/>
  <c r="O33" i="6" s="1"/>
  <c r="P33" i="6" s="1"/>
  <c r="E32" i="11"/>
  <c r="E31" i="11" s="1"/>
  <c r="J34" i="13"/>
  <c r="C40" i="19"/>
  <c r="N40" i="19" s="1"/>
  <c r="S34" i="6"/>
  <c r="O34" i="6" s="1"/>
  <c r="P34" i="6" s="1"/>
  <c r="C37" i="19"/>
  <c r="N37" i="19" s="1"/>
  <c r="J30" i="13"/>
  <c r="S28" i="6"/>
  <c r="O28" i="6" s="1"/>
  <c r="P28" i="6" s="1"/>
  <c r="F41" i="15"/>
  <c r="F32" i="11"/>
  <c r="F31" i="11" s="1"/>
  <c r="F65" i="10" s="1"/>
  <c r="W274" i="7"/>
  <c r="W263" i="7"/>
  <c r="W257" i="7" s="1"/>
  <c r="X265" i="7"/>
  <c r="S620" i="7"/>
  <c r="E41" i="15"/>
  <c r="E25" i="15"/>
  <c r="S268" i="7"/>
  <c r="T551" i="7"/>
  <c r="Y607" i="7"/>
  <c r="Q357" i="7"/>
  <c r="Q353" i="7"/>
  <c r="Q358" i="7" s="1"/>
  <c r="R347" i="7"/>
  <c r="R352" i="7" s="1"/>
  <c r="R357" i="7" s="1"/>
  <c r="R481" i="7"/>
  <c r="S487" i="7"/>
  <c r="S492" i="7" s="1"/>
  <c r="S493" i="7" s="1"/>
  <c r="X537" i="7"/>
  <c r="Y528" i="7"/>
  <c r="W538" i="7"/>
  <c r="W545" i="7" s="1"/>
  <c r="W547" i="7" s="1"/>
  <c r="X533" i="7"/>
  <c r="Y531" i="7" s="1"/>
  <c r="T565" i="7"/>
  <c r="T566" i="7" s="1"/>
  <c r="T569" i="7" s="1"/>
  <c r="T563" i="7"/>
  <c r="T568" i="7" s="1"/>
  <c r="T567" i="7"/>
  <c r="X564" i="7"/>
  <c r="Y552" i="7"/>
  <c r="Z555" i="7"/>
  <c r="AA546" i="7"/>
  <c r="Z544" i="7"/>
  <c r="W561" i="7"/>
  <c r="W534" i="7"/>
  <c r="W548" i="7" s="1"/>
  <c r="W556" i="7" s="1"/>
  <c r="W559" i="7"/>
  <c r="W558" i="7"/>
  <c r="V554" i="7"/>
  <c r="V549" i="7"/>
  <c r="X540" i="7"/>
  <c r="X539" i="7"/>
  <c r="Y525" i="7"/>
  <c r="U550" i="7"/>
  <c r="U557" i="7" s="1"/>
  <c r="U562" i="7" s="1"/>
  <c r="AA474" i="7"/>
  <c r="R495" i="7"/>
  <c r="R496" i="7" s="1"/>
  <c r="R499" i="7" s="1"/>
  <c r="R497" i="7"/>
  <c r="R493" i="7"/>
  <c r="R498" i="7" s="1"/>
  <c r="W468" i="7"/>
  <c r="U484" i="7"/>
  <c r="S481" i="7"/>
  <c r="W467" i="7"/>
  <c r="X458" i="7"/>
  <c r="U463" i="7"/>
  <c r="V461" i="7" s="1"/>
  <c r="V489" i="7"/>
  <c r="V475" i="7"/>
  <c r="V477" i="7" s="1"/>
  <c r="V488" i="7"/>
  <c r="T491" i="7"/>
  <c r="T464" i="7"/>
  <c r="T478" i="7" s="1"/>
  <c r="X494" i="7"/>
  <c r="Y482" i="7"/>
  <c r="X470" i="7"/>
  <c r="Y455" i="7"/>
  <c r="X469" i="7"/>
  <c r="X468" i="7" s="1"/>
  <c r="Y415" i="7"/>
  <c r="Y404" i="7"/>
  <c r="Z406" i="7"/>
  <c r="W323" i="7"/>
  <c r="X321" i="7" s="1"/>
  <c r="Z329" i="7"/>
  <c r="Z330" i="7"/>
  <c r="AA315" i="7"/>
  <c r="T339" i="7"/>
  <c r="T344" i="7"/>
  <c r="W318" i="7"/>
  <c r="V327" i="7"/>
  <c r="V351" i="7"/>
  <c r="V324" i="7"/>
  <c r="V338" i="7" s="1"/>
  <c r="V346" i="7" s="1"/>
  <c r="Y354" i="7"/>
  <c r="Z342" i="7"/>
  <c r="Y328" i="7"/>
  <c r="S340" i="7"/>
  <c r="R341" i="7"/>
  <c r="U349" i="7"/>
  <c r="U335" i="7"/>
  <c r="U337" i="7" s="1"/>
  <c r="U348" i="7"/>
  <c r="X602" i="7"/>
  <c r="Y600" i="7" s="1"/>
  <c r="Z624" i="7"/>
  <c r="AA615" i="7"/>
  <c r="Z613" i="7"/>
  <c r="W606" i="7"/>
  <c r="X597" i="7"/>
  <c r="V397" i="7"/>
  <c r="W388" i="7"/>
  <c r="W421" i="7"/>
  <c r="W394" i="7"/>
  <c r="W408" i="7" s="1"/>
  <c r="W416" i="7" s="1"/>
  <c r="T414" i="7"/>
  <c r="T409" i="7"/>
  <c r="X398" i="7"/>
  <c r="Y633" i="7"/>
  <c r="Z621" i="7"/>
  <c r="V628" i="7"/>
  <c r="V614" i="7"/>
  <c r="V616" i="7" s="1"/>
  <c r="V627" i="7"/>
  <c r="U618" i="7"/>
  <c r="U623" i="7"/>
  <c r="U419" i="7"/>
  <c r="U405" i="7"/>
  <c r="U407" i="7" s="1"/>
  <c r="U418" i="7"/>
  <c r="R417" i="7"/>
  <c r="R422" i="7" s="1"/>
  <c r="S410" i="7"/>
  <c r="S411" i="7" s="1"/>
  <c r="Z608" i="7"/>
  <c r="Z609" i="7"/>
  <c r="AA594" i="7"/>
  <c r="Q425" i="7"/>
  <c r="Q426" i="7" s="1"/>
  <c r="Q429" i="7" s="1"/>
  <c r="Q423" i="7"/>
  <c r="Q428" i="7" s="1"/>
  <c r="Q427" i="7"/>
  <c r="W630" i="7"/>
  <c r="W603" i="7"/>
  <c r="W617" i="7" s="1"/>
  <c r="W625" i="7" s="1"/>
  <c r="S634" i="7"/>
  <c r="S635" i="7" s="1"/>
  <c r="S638" i="7" s="1"/>
  <c r="S632" i="7"/>
  <c r="S637" i="7" s="1"/>
  <c r="S636" i="7"/>
  <c r="X424" i="7"/>
  <c r="Y412" i="7"/>
  <c r="T619" i="7"/>
  <c r="T626" i="7" s="1"/>
  <c r="T631" i="7" s="1"/>
  <c r="X393" i="7"/>
  <c r="Y391" i="7" s="1"/>
  <c r="Y400" i="7"/>
  <c r="Y399" i="7"/>
  <c r="Z385" i="7"/>
  <c r="U252" i="7"/>
  <c r="V250" i="7" s="1"/>
  <c r="S269" i="7"/>
  <c r="S270" i="7" s="1"/>
  <c r="Q270" i="7"/>
  <c r="U278" i="7"/>
  <c r="U264" i="7"/>
  <c r="U266" i="7" s="1"/>
  <c r="U277" i="7"/>
  <c r="R269" i="7"/>
  <c r="R276" i="7" s="1"/>
  <c r="R281" i="7" s="1"/>
  <c r="Y283" i="7"/>
  <c r="Z271" i="7"/>
  <c r="Q284" i="7"/>
  <c r="Q285" i="7" s="1"/>
  <c r="Q288" i="7" s="1"/>
  <c r="Q286" i="7"/>
  <c r="Q282" i="7"/>
  <c r="Q287" i="7" s="1"/>
  <c r="T273" i="7"/>
  <c r="V256" i="7"/>
  <c r="W247" i="7"/>
  <c r="Y259" i="7"/>
  <c r="Y258" i="7"/>
  <c r="Z244" i="7"/>
  <c r="T280" i="7"/>
  <c r="T253" i="7"/>
  <c r="T267" i="7" s="1"/>
  <c r="T275" i="7" s="1"/>
  <c r="S207" i="7"/>
  <c r="S212" i="7" s="1"/>
  <c r="S215" i="7" s="1"/>
  <c r="V205" i="7"/>
  <c r="W196" i="7"/>
  <c r="V194" i="7"/>
  <c r="V188" i="7" s="1"/>
  <c r="V195" i="7" s="1"/>
  <c r="V197" i="7" s="1"/>
  <c r="W209" i="7"/>
  <c r="W208" i="7"/>
  <c r="Y214" i="7"/>
  <c r="Z202" i="7"/>
  <c r="Y178" i="7"/>
  <c r="X187" i="7"/>
  <c r="T199" i="7"/>
  <c r="V183" i="7"/>
  <c r="W181" i="7" s="1"/>
  <c r="R215" i="7"/>
  <c r="R216" i="7" s="1"/>
  <c r="R219" i="7" s="1"/>
  <c r="R213" i="7"/>
  <c r="R218" i="7" s="1"/>
  <c r="R217" i="7"/>
  <c r="S201" i="7"/>
  <c r="X190" i="7"/>
  <c r="X189" i="7"/>
  <c r="Y175" i="7"/>
  <c r="U204" i="7"/>
  <c r="U211" i="7"/>
  <c r="U184" i="7"/>
  <c r="U198" i="7" s="1"/>
  <c r="U206" i="7" s="1"/>
  <c r="Y136" i="7"/>
  <c r="Y125" i="7"/>
  <c r="Z127" i="7"/>
  <c r="X145" i="7"/>
  <c r="Y133" i="7"/>
  <c r="U114" i="7"/>
  <c r="V112" i="7" s="1"/>
  <c r="S131" i="7"/>
  <c r="S138" i="7" s="1"/>
  <c r="S143" i="7" s="1"/>
  <c r="R132" i="7"/>
  <c r="T137" i="7"/>
  <c r="T130" i="7"/>
  <c r="X119" i="7"/>
  <c r="X118" i="7"/>
  <c r="Y109" i="7"/>
  <c r="R146" i="7"/>
  <c r="R147" i="7" s="1"/>
  <c r="R150" i="7" s="1"/>
  <c r="R144" i="7"/>
  <c r="R149" i="7" s="1"/>
  <c r="R148" i="7"/>
  <c r="Y121" i="7"/>
  <c r="Y120" i="7"/>
  <c r="Z106" i="7"/>
  <c r="V135" i="7"/>
  <c r="W140" i="7"/>
  <c r="W126" i="7"/>
  <c r="W128" i="7" s="1"/>
  <c r="W139" i="7"/>
  <c r="U29" i="3"/>
  <c r="G27" i="10"/>
  <c r="G27" i="16" s="1"/>
  <c r="G33" i="4"/>
  <c r="M33" i="4"/>
  <c r="N33" i="4"/>
  <c r="U33" i="3"/>
  <c r="U32" i="3"/>
  <c r="H87" i="8"/>
  <c r="H44" i="8"/>
  <c r="T24" i="6"/>
  <c r="R24" i="6"/>
  <c r="I23" i="6"/>
  <c r="J23" i="6"/>
  <c r="A22" i="6"/>
  <c r="B22" i="6"/>
  <c r="A23" i="6"/>
  <c r="B23" i="6"/>
  <c r="AB25" i="4"/>
  <c r="AC25" i="4"/>
  <c r="AD25" i="4"/>
  <c r="AE25" i="4"/>
  <c r="AF25" i="4"/>
  <c r="AG25" i="4"/>
  <c r="AH25" i="4"/>
  <c r="AI25" i="4"/>
  <c r="AL25" i="4"/>
  <c r="AM25" i="4"/>
  <c r="AN25" i="4"/>
  <c r="AO25" i="4"/>
  <c r="A23" i="4"/>
  <c r="B23" i="4"/>
  <c r="A24" i="4"/>
  <c r="B24" i="4"/>
  <c r="J26" i="3"/>
  <c r="AH25" i="3"/>
  <c r="AD25" i="3"/>
  <c r="O25" i="3"/>
  <c r="A24" i="3"/>
  <c r="B24" i="3"/>
  <c r="A25" i="3"/>
  <c r="B25" i="3"/>
  <c r="D27" i="1"/>
  <c r="E27" i="1"/>
  <c r="W27" i="1"/>
  <c r="AB26" i="1"/>
  <c r="F64" i="16" l="1"/>
  <c r="E61" i="12"/>
  <c r="H26" i="1"/>
  <c r="AC26" i="13"/>
  <c r="J35" i="13"/>
  <c r="U551" i="7"/>
  <c r="X263" i="7"/>
  <c r="X257" i="7" s="1"/>
  <c r="Y265" i="7"/>
  <c r="X274" i="7"/>
  <c r="Y119" i="7"/>
  <c r="X538" i="7"/>
  <c r="Y398" i="7"/>
  <c r="R355" i="7"/>
  <c r="R356" i="7" s="1"/>
  <c r="R359" i="7" s="1"/>
  <c r="Z328" i="7"/>
  <c r="F25" i="15"/>
  <c r="S132" i="7"/>
  <c r="S347" i="7"/>
  <c r="S352" i="7" s="1"/>
  <c r="S355" i="7" s="1"/>
  <c r="S356" i="7" s="1"/>
  <c r="S359" i="7" s="1"/>
  <c r="R353" i="7"/>
  <c r="R358" i="7" s="1"/>
  <c r="S497" i="7"/>
  <c r="S495" i="7"/>
  <c r="S496" i="7" s="1"/>
  <c r="S499" i="7" s="1"/>
  <c r="U565" i="7"/>
  <c r="U566" i="7" s="1"/>
  <c r="U569" i="7" s="1"/>
  <c r="U563" i="7"/>
  <c r="U568" i="7" s="1"/>
  <c r="U567" i="7"/>
  <c r="AA555" i="7"/>
  <c r="AA544" i="7"/>
  <c r="Y539" i="7"/>
  <c r="Y540" i="7"/>
  <c r="Z525" i="7"/>
  <c r="Y564" i="7"/>
  <c r="Z552" i="7"/>
  <c r="S341" i="7"/>
  <c r="W554" i="7"/>
  <c r="W549" i="7"/>
  <c r="Y533" i="7"/>
  <c r="Z531" i="7" s="1"/>
  <c r="Y537" i="7"/>
  <c r="Z528" i="7"/>
  <c r="V550" i="7"/>
  <c r="V557" i="7" s="1"/>
  <c r="V562" i="7" s="1"/>
  <c r="X561" i="7"/>
  <c r="X534" i="7"/>
  <c r="X548" i="7" s="1"/>
  <c r="X556" i="7" s="1"/>
  <c r="X559" i="7"/>
  <c r="X545" i="7"/>
  <c r="X547" i="7" s="1"/>
  <c r="X558" i="7"/>
  <c r="V463" i="7"/>
  <c r="W461" i="7" s="1"/>
  <c r="Y469" i="7"/>
  <c r="Y470" i="7"/>
  <c r="Z455" i="7"/>
  <c r="T486" i="7"/>
  <c r="T479" i="7"/>
  <c r="W489" i="7"/>
  <c r="W475" i="7"/>
  <c r="W477" i="7" s="1"/>
  <c r="W488" i="7"/>
  <c r="S498" i="7"/>
  <c r="Y494" i="7"/>
  <c r="Z482" i="7"/>
  <c r="U491" i="7"/>
  <c r="U464" i="7"/>
  <c r="U478" i="7" s="1"/>
  <c r="V484" i="7"/>
  <c r="X467" i="7"/>
  <c r="Y458" i="7"/>
  <c r="Z404" i="7"/>
  <c r="Z415" i="7"/>
  <c r="AA406" i="7"/>
  <c r="S357" i="7"/>
  <c r="X323" i="7"/>
  <c r="Y321" i="7"/>
  <c r="W327" i="7"/>
  <c r="X318" i="7"/>
  <c r="U344" i="7"/>
  <c r="U339" i="7"/>
  <c r="T340" i="7"/>
  <c r="T347" i="7" s="1"/>
  <c r="T352" i="7" s="1"/>
  <c r="Z354" i="7"/>
  <c r="AA342" i="7"/>
  <c r="AA354" i="7" s="1"/>
  <c r="V349" i="7"/>
  <c r="V335" i="7"/>
  <c r="V337" i="7" s="1"/>
  <c r="V348" i="7"/>
  <c r="AA330" i="7"/>
  <c r="AA329" i="7"/>
  <c r="W351" i="7"/>
  <c r="W324" i="7"/>
  <c r="W338" i="7" s="1"/>
  <c r="W346" i="7" s="1"/>
  <c r="T634" i="7"/>
  <c r="T635" i="7" s="1"/>
  <c r="T638" i="7" s="1"/>
  <c r="T632" i="7"/>
  <c r="T637" i="7" s="1"/>
  <c r="T636" i="7"/>
  <c r="Y602" i="7"/>
  <c r="Z600" i="7" s="1"/>
  <c r="R425" i="7"/>
  <c r="R426" i="7" s="1"/>
  <c r="R429" i="7" s="1"/>
  <c r="R423" i="7"/>
  <c r="R428" i="7" s="1"/>
  <c r="R427" i="7"/>
  <c r="AA624" i="7"/>
  <c r="AA613" i="7"/>
  <c r="Y393" i="7"/>
  <c r="Y424" i="7"/>
  <c r="Z412" i="7"/>
  <c r="Z400" i="7"/>
  <c r="Z399" i="7"/>
  <c r="AA385" i="7"/>
  <c r="X421" i="7"/>
  <c r="X394" i="7"/>
  <c r="X408" i="7" s="1"/>
  <c r="X416" i="7" s="1"/>
  <c r="Z607" i="7"/>
  <c r="U619" i="7"/>
  <c r="U626" i="7" s="1"/>
  <c r="U631" i="7" s="1"/>
  <c r="V618" i="7"/>
  <c r="V623" i="7"/>
  <c r="X606" i="7"/>
  <c r="Y597" i="7"/>
  <c r="S417" i="7"/>
  <c r="S422" i="7" s="1"/>
  <c r="U414" i="7"/>
  <c r="U409" i="7"/>
  <c r="T410" i="7"/>
  <c r="X388" i="7"/>
  <c r="W397" i="7"/>
  <c r="W628" i="7"/>
  <c r="W614" i="7"/>
  <c r="W616" i="7" s="1"/>
  <c r="W627" i="7"/>
  <c r="T620" i="7"/>
  <c r="AA609" i="7"/>
  <c r="AA608" i="7"/>
  <c r="Z633" i="7"/>
  <c r="AA621" i="7"/>
  <c r="AA633" i="7" s="1"/>
  <c r="V419" i="7"/>
  <c r="V405" i="7"/>
  <c r="V407" i="7" s="1"/>
  <c r="V418" i="7"/>
  <c r="X630" i="7"/>
  <c r="X603" i="7"/>
  <c r="X617" i="7" s="1"/>
  <c r="X625" i="7" s="1"/>
  <c r="V252" i="7"/>
  <c r="W250" i="7" s="1"/>
  <c r="W256" i="7"/>
  <c r="X247" i="7"/>
  <c r="Z283" i="7"/>
  <c r="AA271" i="7"/>
  <c r="AA283" i="7" s="1"/>
  <c r="Z259" i="7"/>
  <c r="Z258" i="7"/>
  <c r="AA244" i="7"/>
  <c r="V278" i="7"/>
  <c r="V264" i="7"/>
  <c r="V266" i="7" s="1"/>
  <c r="V277" i="7"/>
  <c r="R284" i="7"/>
  <c r="R285" i="7" s="1"/>
  <c r="R288" i="7" s="1"/>
  <c r="R286" i="7"/>
  <c r="R282" i="7"/>
  <c r="R287" i="7" s="1"/>
  <c r="U273" i="7"/>
  <c r="S276" i="7"/>
  <c r="S281" i="7" s="1"/>
  <c r="R270" i="7"/>
  <c r="T268" i="7"/>
  <c r="U280" i="7"/>
  <c r="U253" i="7"/>
  <c r="U267" i="7" s="1"/>
  <c r="U275" i="7" s="1"/>
  <c r="U199" i="7"/>
  <c r="U200" i="7" s="1"/>
  <c r="U201" i="7" s="1"/>
  <c r="S217" i="7"/>
  <c r="S213" i="7"/>
  <c r="S218" i="7" s="1"/>
  <c r="X209" i="7"/>
  <c r="X208" i="7"/>
  <c r="Y189" i="7"/>
  <c r="Y190" i="7"/>
  <c r="Z175" i="7"/>
  <c r="T200" i="7"/>
  <c r="T207" i="7" s="1"/>
  <c r="T212" i="7" s="1"/>
  <c r="Z214" i="7"/>
  <c r="AA202" i="7"/>
  <c r="AA214" i="7" s="1"/>
  <c r="V204" i="7"/>
  <c r="W183" i="7"/>
  <c r="X181" i="7" s="1"/>
  <c r="Y187" i="7"/>
  <c r="Z178" i="7"/>
  <c r="W205" i="7"/>
  <c r="X196" i="7"/>
  <c r="W194" i="7"/>
  <c r="W188" i="7" s="1"/>
  <c r="W195" i="7" s="1"/>
  <c r="W197" i="7" s="1"/>
  <c r="V211" i="7"/>
  <c r="V184" i="7"/>
  <c r="V198" i="7" s="1"/>
  <c r="V206" i="7" s="1"/>
  <c r="S216" i="7"/>
  <c r="S219" i="7" s="1"/>
  <c r="S146" i="7"/>
  <c r="S147" i="7" s="1"/>
  <c r="S150" i="7" s="1"/>
  <c r="S144" i="7"/>
  <c r="S149" i="7" s="1"/>
  <c r="S148" i="7"/>
  <c r="V114" i="7"/>
  <c r="W112" i="7"/>
  <c r="X126" i="7"/>
  <c r="X128" i="7" s="1"/>
  <c r="X140" i="7"/>
  <c r="X139" i="7"/>
  <c r="Z136" i="7"/>
  <c r="Z125" i="7"/>
  <c r="AA127" i="7"/>
  <c r="W135" i="7"/>
  <c r="Z120" i="7"/>
  <c r="Z121" i="7"/>
  <c r="AA106" i="7"/>
  <c r="U142" i="7"/>
  <c r="U115" i="7"/>
  <c r="U129" i="7" s="1"/>
  <c r="T131" i="7"/>
  <c r="T138" i="7" s="1"/>
  <c r="T143" i="7" s="1"/>
  <c r="Y145" i="7"/>
  <c r="Z133" i="7"/>
  <c r="Y118" i="7"/>
  <c r="Z109" i="7"/>
  <c r="Q25" i="3"/>
  <c r="Q23" i="6"/>
  <c r="G63" i="10"/>
  <c r="G62" i="16" s="1"/>
  <c r="F63" i="10"/>
  <c r="F62" i="16" s="1"/>
  <c r="AA24" i="4"/>
  <c r="I26" i="1" l="1"/>
  <c r="I26" i="13"/>
  <c r="Y274" i="7"/>
  <c r="Z265" i="7"/>
  <c r="Y263" i="7"/>
  <c r="Y257" i="7" s="1"/>
  <c r="AA607" i="7"/>
  <c r="U620" i="7"/>
  <c r="Y468" i="7"/>
  <c r="V551" i="7"/>
  <c r="S353" i="7"/>
  <c r="S358" i="7" s="1"/>
  <c r="T341" i="7"/>
  <c r="Z533" i="7"/>
  <c r="AA531" i="7" s="1"/>
  <c r="AA533" i="7" s="1"/>
  <c r="X554" i="7"/>
  <c r="X549" i="7"/>
  <c r="Z540" i="7"/>
  <c r="Z539" i="7"/>
  <c r="AA525" i="7"/>
  <c r="AA528" i="7"/>
  <c r="AA537" i="7" s="1"/>
  <c r="Z537" i="7"/>
  <c r="W550" i="7"/>
  <c r="W557" i="7" s="1"/>
  <c r="W562" i="7" s="1"/>
  <c r="Y538" i="7"/>
  <c r="Y545" i="7" s="1"/>
  <c r="Y547" i="7" s="1"/>
  <c r="Y561" i="7"/>
  <c r="Y534" i="7"/>
  <c r="Y548" i="7" s="1"/>
  <c r="Y556" i="7" s="1"/>
  <c r="Z564" i="7"/>
  <c r="AA552" i="7"/>
  <c r="AA564" i="7" s="1"/>
  <c r="Y559" i="7"/>
  <c r="Y558" i="7"/>
  <c r="V565" i="7"/>
  <c r="V566" i="7" s="1"/>
  <c r="V569" i="7" s="1"/>
  <c r="V567" i="7"/>
  <c r="V563" i="7"/>
  <c r="V568" i="7" s="1"/>
  <c r="W463" i="7"/>
  <c r="X461" i="7" s="1"/>
  <c r="Z458" i="7"/>
  <c r="Y467" i="7"/>
  <c r="X489" i="7"/>
  <c r="X475" i="7"/>
  <c r="X477" i="7" s="1"/>
  <c r="X488" i="7"/>
  <c r="U486" i="7"/>
  <c r="U479" i="7"/>
  <c r="T480" i="7"/>
  <c r="T487" i="7" s="1"/>
  <c r="T492" i="7" s="1"/>
  <c r="Z494" i="7"/>
  <c r="AA482" i="7"/>
  <c r="AA494" i="7" s="1"/>
  <c r="W484" i="7"/>
  <c r="Z470" i="7"/>
  <c r="Z469" i="7"/>
  <c r="Z468" i="7" s="1"/>
  <c r="AA455" i="7"/>
  <c r="V491" i="7"/>
  <c r="V464" i="7"/>
  <c r="V478" i="7" s="1"/>
  <c r="AA404" i="7"/>
  <c r="AA415" i="7"/>
  <c r="T355" i="7"/>
  <c r="T356" i="7" s="1"/>
  <c r="T359" i="7" s="1"/>
  <c r="T357" i="7"/>
  <c r="T353" i="7"/>
  <c r="V344" i="7"/>
  <c r="V339" i="7"/>
  <c r="X351" i="7"/>
  <c r="X324" i="7"/>
  <c r="X338" i="7" s="1"/>
  <c r="X346" i="7" s="1"/>
  <c r="AA328" i="7"/>
  <c r="X327" i="7"/>
  <c r="Y318" i="7"/>
  <c r="W349" i="7"/>
  <c r="W335" i="7"/>
  <c r="W337" i="7" s="1"/>
  <c r="W348" i="7"/>
  <c r="U340" i="7"/>
  <c r="U347" i="7" s="1"/>
  <c r="U352" i="7" s="1"/>
  <c r="Y323" i="7"/>
  <c r="Z321" i="7"/>
  <c r="U634" i="7"/>
  <c r="U635" i="7" s="1"/>
  <c r="U638" i="7" s="1"/>
  <c r="U636" i="7"/>
  <c r="U632" i="7"/>
  <c r="U637" i="7" s="1"/>
  <c r="T417" i="7"/>
  <c r="T422" i="7" s="1"/>
  <c r="V619" i="7"/>
  <c r="V626" i="7" s="1"/>
  <c r="V631" i="7" s="1"/>
  <c r="Y421" i="7"/>
  <c r="Y394" i="7"/>
  <c r="Y408" i="7" s="1"/>
  <c r="Y416" i="7" s="1"/>
  <c r="Y630" i="7"/>
  <c r="Y603" i="7"/>
  <c r="Y617" i="7" s="1"/>
  <c r="Y625" i="7" s="1"/>
  <c r="S425" i="7"/>
  <c r="S426" i="7" s="1"/>
  <c r="S429" i="7" s="1"/>
  <c r="S423" i="7"/>
  <c r="S428" i="7" s="1"/>
  <c r="S427" i="7"/>
  <c r="T411" i="7"/>
  <c r="Z424" i="7"/>
  <c r="AA412" i="7"/>
  <c r="AA424" i="7" s="1"/>
  <c r="W623" i="7"/>
  <c r="W618" i="7"/>
  <c r="Z597" i="7"/>
  <c r="Y606" i="7"/>
  <c r="W419" i="7"/>
  <c r="W405" i="7"/>
  <c r="W407" i="7" s="1"/>
  <c r="W418" i="7"/>
  <c r="U410" i="7"/>
  <c r="X628" i="7"/>
  <c r="X614" i="7"/>
  <c r="X616" i="7" s="1"/>
  <c r="X627" i="7"/>
  <c r="AA399" i="7"/>
  <c r="AA400" i="7"/>
  <c r="V414" i="7"/>
  <c r="V409" i="7"/>
  <c r="Y388" i="7"/>
  <c r="X397" i="7"/>
  <c r="Z398" i="7"/>
  <c r="Z391" i="7"/>
  <c r="Z602" i="7"/>
  <c r="AA600" i="7" s="1"/>
  <c r="AA602" i="7" s="1"/>
  <c r="W252" i="7"/>
  <c r="X250" i="7" s="1"/>
  <c r="V273" i="7"/>
  <c r="W278" i="7"/>
  <c r="W264" i="7"/>
  <c r="W266" i="7" s="1"/>
  <c r="W277" i="7"/>
  <c r="S284" i="7"/>
  <c r="S285" i="7" s="1"/>
  <c r="S288" i="7" s="1"/>
  <c r="S282" i="7"/>
  <c r="S287" i="7" s="1"/>
  <c r="S286" i="7"/>
  <c r="U268" i="7"/>
  <c r="AA259" i="7"/>
  <c r="AA258" i="7"/>
  <c r="T269" i="7"/>
  <c r="T276" i="7" s="1"/>
  <c r="T281" i="7" s="1"/>
  <c r="Y247" i="7"/>
  <c r="X256" i="7"/>
  <c r="V280" i="7"/>
  <c r="V253" i="7"/>
  <c r="V267" i="7" s="1"/>
  <c r="V275" i="7" s="1"/>
  <c r="U207" i="7"/>
  <c r="U212" i="7" s="1"/>
  <c r="U215" i="7" s="1"/>
  <c r="T201" i="7"/>
  <c r="X183" i="7"/>
  <c r="Y181" i="7" s="1"/>
  <c r="Z187" i="7"/>
  <c r="AA178" i="7"/>
  <c r="AA187" i="7" s="1"/>
  <c r="W204" i="7"/>
  <c r="Y209" i="7"/>
  <c r="Y208" i="7"/>
  <c r="V199" i="7"/>
  <c r="X205" i="7"/>
  <c r="Y196" i="7"/>
  <c r="X194" i="7"/>
  <c r="X188" i="7" s="1"/>
  <c r="X195" i="7" s="1"/>
  <c r="X197" i="7" s="1"/>
  <c r="Z189" i="7"/>
  <c r="AA175" i="7"/>
  <c r="Z190" i="7"/>
  <c r="W211" i="7"/>
  <c r="W184" i="7"/>
  <c r="W198" i="7" s="1"/>
  <c r="W206" i="7" s="1"/>
  <c r="T215" i="7"/>
  <c r="T216" i="7" s="1"/>
  <c r="T219" i="7" s="1"/>
  <c r="T217" i="7"/>
  <c r="T213" i="7"/>
  <c r="T218" i="7" s="1"/>
  <c r="T132" i="7"/>
  <c r="T146" i="7"/>
  <c r="T147" i="7" s="1"/>
  <c r="T150" i="7" s="1"/>
  <c r="T144" i="7"/>
  <c r="T149" i="7" s="1"/>
  <c r="T148" i="7"/>
  <c r="Y140" i="7"/>
  <c r="Y126" i="7"/>
  <c r="Y128" i="7" s="1"/>
  <c r="Y139" i="7"/>
  <c r="AA120" i="7"/>
  <c r="AA121" i="7"/>
  <c r="V142" i="7"/>
  <c r="V115" i="7"/>
  <c r="V129" i="7" s="1"/>
  <c r="AA136" i="7"/>
  <c r="AA125" i="7"/>
  <c r="Z145" i="7"/>
  <c r="AA133" i="7"/>
  <c r="AA145" i="7" s="1"/>
  <c r="U137" i="7"/>
  <c r="U130" i="7"/>
  <c r="Z119" i="7"/>
  <c r="X135" i="7"/>
  <c r="Z118" i="7"/>
  <c r="AA109" i="7"/>
  <c r="AA118" i="7" s="1"/>
  <c r="W114" i="7"/>
  <c r="X112" i="7" s="1"/>
  <c r="T25" i="3"/>
  <c r="R25" i="3"/>
  <c r="S25" i="3"/>
  <c r="AU37" i="4"/>
  <c r="AT37" i="4"/>
  <c r="AQ37" i="4"/>
  <c r="AP37" i="4"/>
  <c r="AO37" i="4"/>
  <c r="AN37" i="4"/>
  <c r="AM37" i="4"/>
  <c r="AL37" i="4"/>
  <c r="AK37" i="4"/>
  <c r="AJ37" i="4"/>
  <c r="AI37" i="4"/>
  <c r="AH37" i="4"/>
  <c r="AH34" i="4" s="1"/>
  <c r="AG37" i="4"/>
  <c r="AG34" i="4" s="1"/>
  <c r="AF37" i="4"/>
  <c r="AF34" i="4" s="1"/>
  <c r="AE37" i="4"/>
  <c r="AE34" i="4" s="1"/>
  <c r="AD37" i="4"/>
  <c r="AC37" i="4"/>
  <c r="AB37" i="4"/>
  <c r="Z37" i="4"/>
  <c r="Y37" i="4"/>
  <c r="X37" i="4"/>
  <c r="W37" i="4"/>
  <c r="R37" i="4"/>
  <c r="Q37" i="4"/>
  <c r="P37" i="4"/>
  <c r="O37" i="4"/>
  <c r="N37" i="4"/>
  <c r="M37" i="4"/>
  <c r="M34" i="4" s="1"/>
  <c r="L37" i="4"/>
  <c r="L34" i="4" s="1"/>
  <c r="K37" i="4"/>
  <c r="K34" i="4" s="1"/>
  <c r="F37" i="4"/>
  <c r="F34" i="4" s="1"/>
  <c r="E37" i="4"/>
  <c r="D37" i="4"/>
  <c r="C37" i="4"/>
  <c r="AA36" i="4"/>
  <c r="AA37" i="4" s="1"/>
  <c r="AA34" i="4" s="1"/>
  <c r="B36" i="4"/>
  <c r="AU34" i="4"/>
  <c r="AT34" i="4"/>
  <c r="AQ34" i="4"/>
  <c r="AP34" i="4"/>
  <c r="AO34" i="4"/>
  <c r="AN34" i="4"/>
  <c r="AM34" i="4"/>
  <c r="AL34" i="4"/>
  <c r="AK34" i="4"/>
  <c r="AJ34" i="4"/>
  <c r="AI34" i="4"/>
  <c r="AD34" i="4"/>
  <c r="AC34" i="4"/>
  <c r="AB34" i="4"/>
  <c r="Z34" i="4"/>
  <c r="Z17" i="4" s="1"/>
  <c r="Y34" i="4"/>
  <c r="Y17" i="4" s="1"/>
  <c r="X34" i="4"/>
  <c r="X17" i="4" s="1"/>
  <c r="W34" i="4"/>
  <c r="W17" i="4" s="1"/>
  <c r="R34" i="4"/>
  <c r="R17" i="4" s="1"/>
  <c r="Q34" i="4"/>
  <c r="Q17" i="4" s="1"/>
  <c r="P34" i="4"/>
  <c r="P17" i="4" s="1"/>
  <c r="O34" i="4"/>
  <c r="O17" i="4" s="1"/>
  <c r="N34" i="4"/>
  <c r="E34" i="4"/>
  <c r="D34" i="4"/>
  <c r="C34" i="4"/>
  <c r="AQ29" i="4"/>
  <c r="AP29" i="4"/>
  <c r="B22" i="4"/>
  <c r="A22" i="4"/>
  <c r="AT25" i="4"/>
  <c r="AQ25" i="4"/>
  <c r="AP25" i="4"/>
  <c r="AK21" i="4"/>
  <c r="AJ21" i="4"/>
  <c r="B21" i="4"/>
  <c r="A21" i="4"/>
  <c r="B20" i="4"/>
  <c r="AO18" i="4"/>
  <c r="AN18" i="4"/>
  <c r="AM18" i="4"/>
  <c r="AL18" i="4"/>
  <c r="AI18" i="4"/>
  <c r="AH18" i="4"/>
  <c r="AG18" i="4"/>
  <c r="AF18" i="4"/>
  <c r="AE18" i="4"/>
  <c r="AD18" i="4"/>
  <c r="AC18" i="4"/>
  <c r="AC17" i="4" s="1"/>
  <c r="AB18" i="4"/>
  <c r="C34" i="19" l="1"/>
  <c r="N34" i="19" s="1"/>
  <c r="J26" i="13"/>
  <c r="S23" i="6"/>
  <c r="O23" i="6" s="1"/>
  <c r="P23" i="6" s="1"/>
  <c r="Z263" i="7"/>
  <c r="Z257" i="7" s="1"/>
  <c r="AA265" i="7"/>
  <c r="Z274" i="7"/>
  <c r="AE17" i="4"/>
  <c r="AG17" i="4"/>
  <c r="T270" i="7"/>
  <c r="AI17" i="4"/>
  <c r="U417" i="7"/>
  <c r="U422" i="7" s="1"/>
  <c r="U423" i="7" s="1"/>
  <c r="AO17" i="4"/>
  <c r="W551" i="7"/>
  <c r="Z538" i="7"/>
  <c r="Z545" i="7" s="1"/>
  <c r="Z547" i="7" s="1"/>
  <c r="T358" i="7"/>
  <c r="W565" i="7"/>
  <c r="W566" i="7" s="1"/>
  <c r="W569" i="7" s="1"/>
  <c r="W567" i="7"/>
  <c r="W563" i="7"/>
  <c r="W568" i="7" s="1"/>
  <c r="AA559" i="7"/>
  <c r="X550" i="7"/>
  <c r="X557" i="7" s="1"/>
  <c r="X562" i="7" s="1"/>
  <c r="AA540" i="7"/>
  <c r="AA539" i="7"/>
  <c r="Y554" i="7"/>
  <c r="Y549" i="7"/>
  <c r="AA561" i="7"/>
  <c r="AA534" i="7"/>
  <c r="AA548" i="7" s="1"/>
  <c r="AA556" i="7" s="1"/>
  <c r="Z559" i="7"/>
  <c r="Z558" i="7"/>
  <c r="Z561" i="7"/>
  <c r="Z534" i="7"/>
  <c r="Z548" i="7" s="1"/>
  <c r="Z556" i="7" s="1"/>
  <c r="T481" i="7"/>
  <c r="T495" i="7"/>
  <c r="T496" i="7" s="1"/>
  <c r="T499" i="7" s="1"/>
  <c r="T497" i="7"/>
  <c r="T493" i="7"/>
  <c r="T498" i="7" s="1"/>
  <c r="X463" i="7"/>
  <c r="Y461" i="7" s="1"/>
  <c r="AA470" i="7"/>
  <c r="AA469" i="7"/>
  <c r="Y489" i="7"/>
  <c r="Y475" i="7"/>
  <c r="Y477" i="7" s="1"/>
  <c r="Y488" i="7"/>
  <c r="Z467" i="7"/>
  <c r="AA458" i="7"/>
  <c r="AA467" i="7" s="1"/>
  <c r="V486" i="7"/>
  <c r="V479" i="7"/>
  <c r="X484" i="7"/>
  <c r="U480" i="7"/>
  <c r="U487" i="7" s="1"/>
  <c r="U492" i="7" s="1"/>
  <c r="W491" i="7"/>
  <c r="W464" i="7"/>
  <c r="W478" i="7" s="1"/>
  <c r="U355" i="7"/>
  <c r="U356" i="7" s="1"/>
  <c r="U359" i="7" s="1"/>
  <c r="U357" i="7"/>
  <c r="U353" i="7"/>
  <c r="U358" i="7" s="1"/>
  <c r="U341" i="7"/>
  <c r="Z318" i="7"/>
  <c r="Y327" i="7"/>
  <c r="Z323" i="7"/>
  <c r="AA321" i="7"/>
  <c r="AA323" i="7" s="1"/>
  <c r="X349" i="7"/>
  <c r="X335" i="7"/>
  <c r="X337" i="7" s="1"/>
  <c r="X348" i="7"/>
  <c r="Y351" i="7"/>
  <c r="Y324" i="7"/>
  <c r="Y338" i="7" s="1"/>
  <c r="Y346" i="7" s="1"/>
  <c r="W339" i="7"/>
  <c r="W344" i="7"/>
  <c r="V340" i="7"/>
  <c r="V347" i="7" s="1"/>
  <c r="V352" i="7" s="1"/>
  <c r="AA630" i="7"/>
  <c r="AA603" i="7"/>
  <c r="AA617" i="7" s="1"/>
  <c r="AA625" i="7" s="1"/>
  <c r="U425" i="7"/>
  <c r="U427" i="7"/>
  <c r="V634" i="7"/>
  <c r="V635" i="7" s="1"/>
  <c r="V638" i="7" s="1"/>
  <c r="V636" i="7"/>
  <c r="V632" i="7"/>
  <c r="V637" i="7" s="1"/>
  <c r="Z393" i="7"/>
  <c r="AA391" i="7" s="1"/>
  <c r="AA393" i="7" s="1"/>
  <c r="X419" i="7"/>
  <c r="X405" i="7"/>
  <c r="X407" i="7" s="1"/>
  <c r="X418" i="7"/>
  <c r="W619" i="7"/>
  <c r="W626" i="7" s="1"/>
  <c r="W631" i="7" s="1"/>
  <c r="Y397" i="7"/>
  <c r="Z388" i="7"/>
  <c r="AA398" i="7"/>
  <c r="V410" i="7"/>
  <c r="V417" i="7" s="1"/>
  <c r="V422" i="7" s="1"/>
  <c r="U411" i="7"/>
  <c r="Y628" i="7"/>
  <c r="Y614" i="7"/>
  <c r="Y616" i="7" s="1"/>
  <c r="Y627" i="7"/>
  <c r="T425" i="7"/>
  <c r="T426" i="7" s="1"/>
  <c r="T429" i="7" s="1"/>
  <c r="T423" i="7"/>
  <c r="T428" i="7" s="1"/>
  <c r="T427" i="7"/>
  <c r="W414" i="7"/>
  <c r="W409" i="7"/>
  <c r="Z630" i="7"/>
  <c r="Z603" i="7"/>
  <c r="Z617" i="7" s="1"/>
  <c r="Z625" i="7" s="1"/>
  <c r="X623" i="7"/>
  <c r="X618" i="7"/>
  <c r="AA597" i="7"/>
  <c r="AA606" i="7" s="1"/>
  <c r="Z606" i="7"/>
  <c r="V620" i="7"/>
  <c r="X252" i="7"/>
  <c r="Y250" i="7" s="1"/>
  <c r="W273" i="7"/>
  <c r="Y256" i="7"/>
  <c r="Z247" i="7"/>
  <c r="V268" i="7"/>
  <c r="X278" i="7"/>
  <c r="X264" i="7"/>
  <c r="X266" i="7" s="1"/>
  <c r="X277" i="7"/>
  <c r="T284" i="7"/>
  <c r="T285" i="7" s="1"/>
  <c r="T288" i="7" s="1"/>
  <c r="T282" i="7"/>
  <c r="T287" i="7" s="1"/>
  <c r="T286" i="7"/>
  <c r="U269" i="7"/>
  <c r="U276" i="7" s="1"/>
  <c r="U281" i="7" s="1"/>
  <c r="W280" i="7"/>
  <c r="W253" i="7"/>
  <c r="W267" i="7" s="1"/>
  <c r="W275" i="7" s="1"/>
  <c r="W199" i="7"/>
  <c r="W200" i="7" s="1"/>
  <c r="W201" i="7" s="1"/>
  <c r="U217" i="7"/>
  <c r="U213" i="7"/>
  <c r="U218" i="7" s="1"/>
  <c r="Y183" i="7"/>
  <c r="Z181" i="7" s="1"/>
  <c r="AA190" i="7"/>
  <c r="AA189" i="7"/>
  <c r="Y205" i="7"/>
  <c r="Z196" i="7"/>
  <c r="Y194" i="7"/>
  <c r="Y188" i="7" s="1"/>
  <c r="Y195" i="7" s="1"/>
  <c r="Y197" i="7" s="1"/>
  <c r="AA209" i="7"/>
  <c r="Z209" i="7"/>
  <c r="Z208" i="7"/>
  <c r="V200" i="7"/>
  <c r="V207" i="7" s="1"/>
  <c r="V212" i="7" s="1"/>
  <c r="X204" i="7"/>
  <c r="U216" i="7"/>
  <c r="U219" i="7" s="1"/>
  <c r="X211" i="7"/>
  <c r="X184" i="7"/>
  <c r="X198" i="7" s="1"/>
  <c r="X206" i="7" s="1"/>
  <c r="AA119" i="7"/>
  <c r="AA126" i="7" s="1"/>
  <c r="AA128" i="7" s="1"/>
  <c r="X114" i="7"/>
  <c r="Y112" i="7" s="1"/>
  <c r="Z140" i="7"/>
  <c r="Z126" i="7"/>
  <c r="Z128" i="7" s="1"/>
  <c r="Z139" i="7"/>
  <c r="AA139" i="7" s="1"/>
  <c r="U131" i="7"/>
  <c r="U138" i="7" s="1"/>
  <c r="U143" i="7" s="1"/>
  <c r="W142" i="7"/>
  <c r="W115" i="7"/>
  <c r="W129" i="7" s="1"/>
  <c r="V137" i="7"/>
  <c r="V130" i="7"/>
  <c r="AA140" i="7"/>
  <c r="Y135" i="7"/>
  <c r="AM17" i="4"/>
  <c r="AK25" i="4"/>
  <c r="AK18" i="4" s="1"/>
  <c r="AK17" i="4" s="1"/>
  <c r="AJ25" i="4"/>
  <c r="AJ18" i="4" s="1"/>
  <c r="AJ17" i="4" s="1"/>
  <c r="AB17" i="4"/>
  <c r="AD17" i="4"/>
  <c r="AF17" i="4"/>
  <c r="AH17" i="4"/>
  <c r="AL17" i="4"/>
  <c r="AN17" i="4"/>
  <c r="D25" i="4"/>
  <c r="D18" i="4" s="1"/>
  <c r="D17" i="4" s="1"/>
  <c r="E25" i="4"/>
  <c r="E18" i="4" s="1"/>
  <c r="E17" i="4" s="1"/>
  <c r="L18" i="4"/>
  <c r="L17" i="4" s="1"/>
  <c r="F25" i="4"/>
  <c r="F18" i="4" s="1"/>
  <c r="F17" i="4" s="1"/>
  <c r="C25" i="4"/>
  <c r="K18" i="4"/>
  <c r="K17" i="4" s="1"/>
  <c r="U25" i="3"/>
  <c r="AA22" i="4"/>
  <c r="AP18" i="4"/>
  <c r="AP17" i="4" s="1"/>
  <c r="AT18" i="4"/>
  <c r="AT17" i="4" s="1"/>
  <c r="AQ18" i="4"/>
  <c r="AQ17" i="4" s="1"/>
  <c r="AU21" i="4"/>
  <c r="AU25" i="4" s="1"/>
  <c r="AU27" i="4"/>
  <c r="AU29" i="4" s="1"/>
  <c r="AA36" i="14"/>
  <c r="AA208" i="7" l="1"/>
  <c r="AA274" i="7"/>
  <c r="AA263" i="7"/>
  <c r="AA257" i="7" s="1"/>
  <c r="G77" i="16"/>
  <c r="G39" i="11"/>
  <c r="G24" i="11" s="1"/>
  <c r="G23" i="11" s="1"/>
  <c r="D77" i="16"/>
  <c r="D39" i="11"/>
  <c r="D32" i="11" s="1"/>
  <c r="AA538" i="7"/>
  <c r="AA545" i="7" s="1"/>
  <c r="AA547" i="7" s="1"/>
  <c r="AA554" i="7" s="1"/>
  <c r="AA558" i="7"/>
  <c r="X551" i="7"/>
  <c r="X565" i="7"/>
  <c r="X566" i="7" s="1"/>
  <c r="X569" i="7" s="1"/>
  <c r="X567" i="7"/>
  <c r="X563" i="7"/>
  <c r="X568" i="7" s="1"/>
  <c r="F506" i="7" s="1"/>
  <c r="Z554" i="7"/>
  <c r="Z549" i="7"/>
  <c r="Y550" i="7"/>
  <c r="Y557" i="7" s="1"/>
  <c r="Y562" i="7" s="1"/>
  <c r="U495" i="7"/>
  <c r="U496" i="7" s="1"/>
  <c r="U499" i="7" s="1"/>
  <c r="U497" i="7"/>
  <c r="U493" i="7"/>
  <c r="U498" i="7" s="1"/>
  <c r="V480" i="7"/>
  <c r="V487" i="7" s="1"/>
  <c r="V492" i="7" s="1"/>
  <c r="X491" i="7"/>
  <c r="X464" i="7"/>
  <c r="X478" i="7" s="1"/>
  <c r="W486" i="7"/>
  <c r="W479" i="7"/>
  <c r="U481" i="7"/>
  <c r="Y484" i="7"/>
  <c r="AA468" i="7"/>
  <c r="AA475" i="7" s="1"/>
  <c r="AA477" i="7" s="1"/>
  <c r="AA489" i="7"/>
  <c r="Z489" i="7"/>
  <c r="Z475" i="7"/>
  <c r="Z477" i="7" s="1"/>
  <c r="Z488" i="7"/>
  <c r="AA488" i="7" s="1"/>
  <c r="Y463" i="7"/>
  <c r="V355" i="7"/>
  <c r="V356" i="7" s="1"/>
  <c r="V359" i="7" s="1"/>
  <c r="V353" i="7"/>
  <c r="V358" i="7" s="1"/>
  <c r="V357" i="7"/>
  <c r="AA318" i="7"/>
  <c r="AA327" i="7" s="1"/>
  <c r="Z327" i="7"/>
  <c r="Z351" i="7"/>
  <c r="Z324" i="7"/>
  <c r="Z338" i="7" s="1"/>
  <c r="Z346" i="7" s="1"/>
  <c r="W340" i="7"/>
  <c r="W347" i="7" s="1"/>
  <c r="W352" i="7" s="1"/>
  <c r="X339" i="7"/>
  <c r="X344" i="7"/>
  <c r="Y349" i="7"/>
  <c r="Y335" i="7"/>
  <c r="Y337" i="7" s="1"/>
  <c r="Y348" i="7"/>
  <c r="V341" i="7"/>
  <c r="AA351" i="7"/>
  <c r="AA324" i="7"/>
  <c r="AA338" i="7" s="1"/>
  <c r="AA346" i="7" s="1"/>
  <c r="V425" i="7"/>
  <c r="V426" i="7" s="1"/>
  <c r="V427" i="7"/>
  <c r="V423" i="7"/>
  <c r="V428" i="7" s="1"/>
  <c r="U426" i="7"/>
  <c r="U429" i="7" s="1"/>
  <c r="AA628" i="7"/>
  <c r="AA614" i="7"/>
  <c r="AA616" i="7" s="1"/>
  <c r="Y618" i="7"/>
  <c r="Y623" i="7"/>
  <c r="W410" i="7"/>
  <c r="W417" i="7" s="1"/>
  <c r="W422" i="7" s="1"/>
  <c r="W620" i="7"/>
  <c r="AA421" i="7"/>
  <c r="AA394" i="7"/>
  <c r="AA408" i="7" s="1"/>
  <c r="AA416" i="7" s="1"/>
  <c r="Y419" i="7"/>
  <c r="Y405" i="7"/>
  <c r="Y407" i="7" s="1"/>
  <c r="Y418" i="7"/>
  <c r="X414" i="7"/>
  <c r="X409" i="7"/>
  <c r="X619" i="7"/>
  <c r="X626" i="7" s="1"/>
  <c r="X631" i="7" s="1"/>
  <c r="W634" i="7"/>
  <c r="W635" i="7" s="1"/>
  <c r="W638" i="7" s="1"/>
  <c r="W636" i="7"/>
  <c r="W632" i="7"/>
  <c r="W637" i="7" s="1"/>
  <c r="Z628" i="7"/>
  <c r="Z614" i="7"/>
  <c r="Z616" i="7" s="1"/>
  <c r="Z627" i="7"/>
  <c r="AA627" i="7" s="1"/>
  <c r="V411" i="7"/>
  <c r="Z397" i="7"/>
  <c r="AA388" i="7"/>
  <c r="AA397" i="7" s="1"/>
  <c r="Z421" i="7"/>
  <c r="Z394" i="7"/>
  <c r="Z408" i="7" s="1"/>
  <c r="Z416" i="7" s="1"/>
  <c r="U428" i="7"/>
  <c r="W268" i="7"/>
  <c r="U270" i="7"/>
  <c r="V269" i="7"/>
  <c r="V276" i="7" s="1"/>
  <c r="V281" i="7" s="1"/>
  <c r="U284" i="7"/>
  <c r="U285" i="7" s="1"/>
  <c r="U288" i="7" s="1"/>
  <c r="U286" i="7"/>
  <c r="U282" i="7"/>
  <c r="U287" i="7" s="1"/>
  <c r="Z256" i="7"/>
  <c r="AA247" i="7"/>
  <c r="AA256" i="7" s="1"/>
  <c r="Y252" i="7"/>
  <c r="Z250" i="7" s="1"/>
  <c r="X273" i="7"/>
  <c r="Y278" i="7"/>
  <c r="Y264" i="7"/>
  <c r="Y266" i="7" s="1"/>
  <c r="Y277" i="7"/>
  <c r="X280" i="7"/>
  <c r="X253" i="7"/>
  <c r="X267" i="7" s="1"/>
  <c r="X275" i="7" s="1"/>
  <c r="Z183" i="7"/>
  <c r="AA181" i="7" s="1"/>
  <c r="AA183" i="7" s="1"/>
  <c r="X199" i="7"/>
  <c r="Z205" i="7"/>
  <c r="AA196" i="7"/>
  <c r="Z194" i="7"/>
  <c r="Z188" i="7" s="1"/>
  <c r="Z195" i="7" s="1"/>
  <c r="Z197" i="7" s="1"/>
  <c r="V215" i="7"/>
  <c r="V216" i="7" s="1"/>
  <c r="V219" i="7" s="1"/>
  <c r="V213" i="7"/>
  <c r="V218" i="7" s="1"/>
  <c r="V217" i="7"/>
  <c r="W207" i="7"/>
  <c r="W212" i="7" s="1"/>
  <c r="V201" i="7"/>
  <c r="Y204" i="7"/>
  <c r="Y211" i="7"/>
  <c r="Y184" i="7"/>
  <c r="Y198" i="7" s="1"/>
  <c r="Y206" i="7" s="1"/>
  <c r="U146" i="7"/>
  <c r="U147" i="7" s="1"/>
  <c r="U150" i="7" s="1"/>
  <c r="U144" i="7"/>
  <c r="U149" i="7" s="1"/>
  <c r="U148" i="7"/>
  <c r="Z135" i="7"/>
  <c r="AA135" i="7"/>
  <c r="U132" i="7"/>
  <c r="Y114" i="7"/>
  <c r="V131" i="7"/>
  <c r="V138" i="7" s="1"/>
  <c r="V143" i="7" s="1"/>
  <c r="W137" i="7"/>
  <c r="W130" i="7"/>
  <c r="X142" i="7"/>
  <c r="X115" i="7"/>
  <c r="X129" i="7" s="1"/>
  <c r="C18" i="4"/>
  <c r="C17" i="4" s="1"/>
  <c r="AU17" i="4"/>
  <c r="AU18" i="4"/>
  <c r="AA27" i="4"/>
  <c r="AA29" i="4" s="1"/>
  <c r="AA21" i="4"/>
  <c r="D31" i="11" l="1"/>
  <c r="H32" i="11"/>
  <c r="Y551" i="7"/>
  <c r="AA549" i="7"/>
  <c r="G41" i="15"/>
  <c r="D41" i="15"/>
  <c r="V481" i="7"/>
  <c r="Y565" i="7"/>
  <c r="Y566" i="7" s="1"/>
  <c r="Y569" i="7" s="1"/>
  <c r="Y563" i="7"/>
  <c r="Y568" i="7" s="1"/>
  <c r="G506" i="7" s="1"/>
  <c r="Y567" i="7"/>
  <c r="Z550" i="7"/>
  <c r="Z557" i="7" s="1"/>
  <c r="Z562" i="7" s="1"/>
  <c r="AA550" i="7"/>
  <c r="AA557" i="7" s="1"/>
  <c r="AA562" i="7" s="1"/>
  <c r="AA484" i="7"/>
  <c r="Y491" i="7"/>
  <c r="Y464" i="7"/>
  <c r="Y478" i="7" s="1"/>
  <c r="Z484" i="7"/>
  <c r="Z461" i="7"/>
  <c r="V495" i="7"/>
  <c r="V496" i="7" s="1"/>
  <c r="V499" i="7" s="1"/>
  <c r="V497" i="7"/>
  <c r="V493" i="7"/>
  <c r="V498" i="7" s="1"/>
  <c r="X486" i="7"/>
  <c r="X479" i="7"/>
  <c r="W480" i="7"/>
  <c r="W487" i="7" s="1"/>
  <c r="W492" i="7" s="1"/>
  <c r="V429" i="7"/>
  <c r="W355" i="7"/>
  <c r="W356" i="7" s="1"/>
  <c r="W359" i="7" s="1"/>
  <c r="W353" i="7"/>
  <c r="W358" i="7" s="1"/>
  <c r="W357" i="7"/>
  <c r="AA349" i="7"/>
  <c r="AA335" i="7"/>
  <c r="AA337" i="7" s="1"/>
  <c r="X340" i="7"/>
  <c r="X347" i="7" s="1"/>
  <c r="X352" i="7" s="1"/>
  <c r="Y344" i="7"/>
  <c r="Y339" i="7"/>
  <c r="W341" i="7"/>
  <c r="Z349" i="7"/>
  <c r="Z335" i="7"/>
  <c r="Z337" i="7" s="1"/>
  <c r="Z348" i="7"/>
  <c r="AA348" i="7" s="1"/>
  <c r="V270" i="7"/>
  <c r="X634" i="7"/>
  <c r="X635" i="7" s="1"/>
  <c r="X638" i="7" s="1"/>
  <c r="X636" i="7"/>
  <c r="X632" i="7"/>
  <c r="X637" i="7" s="1"/>
  <c r="F575" i="7" s="1"/>
  <c r="W425" i="7"/>
  <c r="W426" i="7" s="1"/>
  <c r="W429" i="7" s="1"/>
  <c r="W423" i="7"/>
  <c r="W428" i="7" s="1"/>
  <c r="W427" i="7"/>
  <c r="X410" i="7"/>
  <c r="X417" i="7" s="1"/>
  <c r="X422" i="7" s="1"/>
  <c r="W411" i="7"/>
  <c r="Y619" i="7"/>
  <c r="Y626" i="7" s="1"/>
  <c r="Y631" i="7" s="1"/>
  <c r="AA419" i="7"/>
  <c r="AA405" i="7"/>
  <c r="AA407" i="7" s="1"/>
  <c r="Z419" i="7"/>
  <c r="Z405" i="7"/>
  <c r="Z407" i="7" s="1"/>
  <c r="Z418" i="7"/>
  <c r="AA418" i="7" s="1"/>
  <c r="Z618" i="7"/>
  <c r="Z623" i="7"/>
  <c r="AA623" i="7"/>
  <c r="AA618" i="7"/>
  <c r="X620" i="7"/>
  <c r="Y414" i="7"/>
  <c r="Y409" i="7"/>
  <c r="Z252" i="7"/>
  <c r="AA250" i="7" s="1"/>
  <c r="AA252" i="7" s="1"/>
  <c r="Y273" i="7"/>
  <c r="V284" i="7"/>
  <c r="V285" i="7" s="1"/>
  <c r="V288" i="7" s="1"/>
  <c r="V282" i="7"/>
  <c r="V287" i="7" s="1"/>
  <c r="V286" i="7"/>
  <c r="Y280" i="7"/>
  <c r="Y253" i="7"/>
  <c r="Y267" i="7" s="1"/>
  <c r="Y275" i="7" s="1"/>
  <c r="AA278" i="7"/>
  <c r="AA264" i="7"/>
  <c r="AA266" i="7" s="1"/>
  <c r="X268" i="7"/>
  <c r="Z278" i="7"/>
  <c r="Z264" i="7"/>
  <c r="Z266" i="7" s="1"/>
  <c r="Z277" i="7"/>
  <c r="AA277" i="7" s="1"/>
  <c r="W269" i="7"/>
  <c r="W276" i="7" s="1"/>
  <c r="W281" i="7" s="1"/>
  <c r="Y199" i="7"/>
  <c r="AA211" i="7"/>
  <c r="AA184" i="7"/>
  <c r="AA198" i="7" s="1"/>
  <c r="AA206" i="7" s="1"/>
  <c r="X200" i="7"/>
  <c r="X207" i="7" s="1"/>
  <c r="X212" i="7" s="1"/>
  <c r="Y200" i="7"/>
  <c r="Y201" i="7" s="1"/>
  <c r="W215" i="7"/>
  <c r="W216" i="7" s="1"/>
  <c r="W219" i="7" s="1"/>
  <c r="W217" i="7"/>
  <c r="W213" i="7"/>
  <c r="W218" i="7" s="1"/>
  <c r="Z204" i="7"/>
  <c r="AA205" i="7"/>
  <c r="AA194" i="7"/>
  <c r="AA188" i="7" s="1"/>
  <c r="AA195" i="7" s="1"/>
  <c r="AA197" i="7" s="1"/>
  <c r="Z211" i="7"/>
  <c r="Z184" i="7"/>
  <c r="Z198" i="7" s="1"/>
  <c r="Z206" i="7" s="1"/>
  <c r="V146" i="7"/>
  <c r="V147" i="7" s="1"/>
  <c r="V150" i="7" s="1"/>
  <c r="V148" i="7"/>
  <c r="V144" i="7"/>
  <c r="V149" i="7" s="1"/>
  <c r="Y142" i="7"/>
  <c r="Y115" i="7"/>
  <c r="Y129" i="7" s="1"/>
  <c r="W131" i="7"/>
  <c r="W138" i="7" s="1"/>
  <c r="W143" i="7" s="1"/>
  <c r="X137" i="7"/>
  <c r="X130" i="7"/>
  <c r="V132" i="7"/>
  <c r="Z112" i="7"/>
  <c r="AA25" i="4"/>
  <c r="AA18" i="4" s="1"/>
  <c r="AA17" i="4" s="1"/>
  <c r="AB37" i="14"/>
  <c r="AC37" i="14"/>
  <c r="AD37" i="14"/>
  <c r="AE37" i="14"/>
  <c r="AF37" i="14"/>
  <c r="AG37" i="14"/>
  <c r="AH37" i="14"/>
  <c r="AI37" i="14"/>
  <c r="AJ37" i="14"/>
  <c r="AK37" i="14"/>
  <c r="AL37" i="14"/>
  <c r="AM37" i="14"/>
  <c r="AN37" i="14"/>
  <c r="AN34" i="14" s="1"/>
  <c r="AN17" i="14" s="1"/>
  <c r="AA37" i="14"/>
  <c r="D37" i="14"/>
  <c r="E37" i="14"/>
  <c r="F37" i="14"/>
  <c r="K37" i="14"/>
  <c r="L37" i="14"/>
  <c r="M37" i="14"/>
  <c r="N37" i="14"/>
  <c r="O37" i="14"/>
  <c r="P37" i="14"/>
  <c r="Q37" i="14"/>
  <c r="R37" i="14"/>
  <c r="W37" i="14"/>
  <c r="X37" i="14"/>
  <c r="Y37" i="14"/>
  <c r="Z37" i="14"/>
  <c r="C37" i="14"/>
  <c r="F39" i="13"/>
  <c r="F36" i="13" s="1"/>
  <c r="F20" i="13"/>
  <c r="H1" i="8"/>
  <c r="J27" i="6"/>
  <c r="I27" i="6"/>
  <c r="I26" i="6"/>
  <c r="I21" i="6"/>
  <c r="J21" i="6"/>
  <c r="E21" i="6"/>
  <c r="G21" i="6"/>
  <c r="T27" i="1"/>
  <c r="G19" i="15" l="1"/>
  <c r="W481" i="7"/>
  <c r="Z565" i="7"/>
  <c r="Z566" i="7" s="1"/>
  <c r="Z569" i="7" s="1"/>
  <c r="Z563" i="7"/>
  <c r="Z568" i="7" s="1"/>
  <c r="Z567" i="7"/>
  <c r="AA565" i="7"/>
  <c r="AA566" i="7" s="1"/>
  <c r="AA567" i="7"/>
  <c r="AA563" i="7"/>
  <c r="AA568" i="7" s="1"/>
  <c r="Z551" i="7"/>
  <c r="AA551" i="7"/>
  <c r="W495" i="7"/>
  <c r="W496" i="7" s="1"/>
  <c r="W499" i="7" s="1"/>
  <c r="W497" i="7"/>
  <c r="W493" i="7"/>
  <c r="W498" i="7" s="1"/>
  <c r="Z463" i="7"/>
  <c r="AA461" i="7" s="1"/>
  <c r="AA463" i="7" s="1"/>
  <c r="Y486" i="7"/>
  <c r="Y479" i="7"/>
  <c r="X480" i="7"/>
  <c r="X487" i="7" s="1"/>
  <c r="X492" i="7" s="1"/>
  <c r="X411" i="7"/>
  <c r="X355" i="7"/>
  <c r="X356" i="7" s="1"/>
  <c r="X359" i="7" s="1"/>
  <c r="X357" i="7"/>
  <c r="X353" i="7"/>
  <c r="X358" i="7" s="1"/>
  <c r="F296" i="7" s="1"/>
  <c r="Z28" i="6" s="1"/>
  <c r="Y340" i="7"/>
  <c r="Y347" i="7" s="1"/>
  <c r="Y352" i="7" s="1"/>
  <c r="X341" i="7"/>
  <c r="Z344" i="7"/>
  <c r="Z339" i="7"/>
  <c r="AA339" i="7"/>
  <c r="AA344" i="7"/>
  <c r="W270" i="7"/>
  <c r="X425" i="7"/>
  <c r="X426" i="7" s="1"/>
  <c r="X429" i="7" s="1"/>
  <c r="X423" i="7"/>
  <c r="X428" i="7" s="1"/>
  <c r="F366" i="7" s="1"/>
  <c r="Z33" i="6" s="1"/>
  <c r="X427" i="7"/>
  <c r="Z414" i="7"/>
  <c r="Z409" i="7"/>
  <c r="Y634" i="7"/>
  <c r="Y635" i="7" s="1"/>
  <c r="Y638" i="7" s="1"/>
  <c r="Y636" i="7"/>
  <c r="Y632" i="7"/>
  <c r="Y637" i="7" s="1"/>
  <c r="G575" i="7" s="1"/>
  <c r="Z619" i="7"/>
  <c r="Z626" i="7" s="1"/>
  <c r="Z631" i="7" s="1"/>
  <c r="Y620" i="7"/>
  <c r="AA619" i="7"/>
  <c r="Y410" i="7"/>
  <c r="Y417" i="7" s="1"/>
  <c r="Y422" i="7" s="1"/>
  <c r="AA414" i="7"/>
  <c r="AA409" i="7"/>
  <c r="AA280" i="7"/>
  <c r="AA253" i="7"/>
  <c r="AA267" i="7" s="1"/>
  <c r="AA275" i="7" s="1"/>
  <c r="Z273" i="7"/>
  <c r="AA273" i="7"/>
  <c r="Y268" i="7"/>
  <c r="W284" i="7"/>
  <c r="W285" i="7" s="1"/>
  <c r="W288" i="7" s="1"/>
  <c r="W282" i="7"/>
  <c r="W287" i="7" s="1"/>
  <c r="W286" i="7"/>
  <c r="X269" i="7"/>
  <c r="X276" i="7" s="1"/>
  <c r="X281" i="7" s="1"/>
  <c r="Z280" i="7"/>
  <c r="Z253" i="7"/>
  <c r="Z267" i="7" s="1"/>
  <c r="Z275" i="7" s="1"/>
  <c r="X215" i="7"/>
  <c r="X216" i="7" s="1"/>
  <c r="X219" i="7" s="1"/>
  <c r="X217" i="7"/>
  <c r="X213" i="7"/>
  <c r="X218" i="7" s="1"/>
  <c r="F156" i="7" s="1"/>
  <c r="Z23" i="6" s="1"/>
  <c r="Z199" i="7"/>
  <c r="X201" i="7"/>
  <c r="AA204" i="7"/>
  <c r="AA199" i="7"/>
  <c r="Y207" i="7"/>
  <c r="Y212" i="7" s="1"/>
  <c r="W132" i="7"/>
  <c r="W146" i="7"/>
  <c r="W147" i="7" s="1"/>
  <c r="W150" i="7" s="1"/>
  <c r="W148" i="7"/>
  <c r="W144" i="7"/>
  <c r="W149" i="7" s="1"/>
  <c r="X131" i="7"/>
  <c r="X138" i="7" s="1"/>
  <c r="X143" i="7" s="1"/>
  <c r="Z114" i="7"/>
  <c r="AA112" i="7" s="1"/>
  <c r="AA114" i="7" s="1"/>
  <c r="Y137" i="7"/>
  <c r="Y130" i="7"/>
  <c r="S27" i="1"/>
  <c r="R27" i="1"/>
  <c r="R20" i="1" s="1"/>
  <c r="Q27" i="1"/>
  <c r="Q20" i="1" s="1"/>
  <c r="F19" i="13"/>
  <c r="J31" i="1"/>
  <c r="AA268" i="7" l="1"/>
  <c r="AA626" i="7"/>
  <c r="AA631" i="7" s="1"/>
  <c r="Z620" i="7"/>
  <c r="AA569" i="7"/>
  <c r="F507" i="7" s="1"/>
  <c r="F508" i="7"/>
  <c r="F509" i="7" s="1"/>
  <c r="X495" i="7"/>
  <c r="X496" i="7" s="1"/>
  <c r="X499" i="7" s="1"/>
  <c r="X497" i="7"/>
  <c r="X493" i="7"/>
  <c r="X498" i="7" s="1"/>
  <c r="F436" i="7" s="1"/>
  <c r="Z34" i="6" s="1"/>
  <c r="AA491" i="7"/>
  <c r="AA464" i="7"/>
  <c r="AA478" i="7" s="1"/>
  <c r="Y480" i="7"/>
  <c r="Y487" i="7" s="1"/>
  <c r="Y492" i="7" s="1"/>
  <c r="X481" i="7"/>
  <c r="Z491" i="7"/>
  <c r="Z464" i="7"/>
  <c r="Z478" i="7" s="1"/>
  <c r="Y411" i="7"/>
  <c r="Z340" i="7"/>
  <c r="Z347" i="7" s="1"/>
  <c r="Z352" i="7" s="1"/>
  <c r="Y341" i="7"/>
  <c r="AA340" i="7"/>
  <c r="Y355" i="7"/>
  <c r="Y356" i="7" s="1"/>
  <c r="Y359" i="7" s="1"/>
  <c r="Y357" i="7"/>
  <c r="Y353" i="7"/>
  <c r="Y358" i="7" s="1"/>
  <c r="G296" i="7" s="1"/>
  <c r="Y425" i="7"/>
  <c r="Y426" i="7" s="1"/>
  <c r="Y429" i="7" s="1"/>
  <c r="Y423" i="7"/>
  <c r="Y428" i="7" s="1"/>
  <c r="G366" i="7" s="1"/>
  <c r="Y427" i="7"/>
  <c r="AA634" i="7"/>
  <c r="AA636" i="7"/>
  <c r="AA632" i="7"/>
  <c r="AA410" i="7"/>
  <c r="AA411" i="7" s="1"/>
  <c r="Z634" i="7"/>
  <c r="Z635" i="7" s="1"/>
  <c r="Z638" i="7" s="1"/>
  <c r="Z632" i="7"/>
  <c r="Z637" i="7" s="1"/>
  <c r="Z636" i="7"/>
  <c r="Z410" i="7"/>
  <c r="Z417" i="7" s="1"/>
  <c r="Z422" i="7" s="1"/>
  <c r="AA620" i="7"/>
  <c r="X270" i="7"/>
  <c r="Z268" i="7"/>
  <c r="Y269" i="7"/>
  <c r="Y276" i="7" s="1"/>
  <c r="Y281" i="7" s="1"/>
  <c r="AA269" i="7"/>
  <c r="AA270" i="7" s="1"/>
  <c r="X284" i="7"/>
  <c r="X285" i="7" s="1"/>
  <c r="X288" i="7" s="1"/>
  <c r="X286" i="7"/>
  <c r="X282" i="7"/>
  <c r="X287" i="7" s="1"/>
  <c r="F225" i="7" s="1"/>
  <c r="Z27" i="6" s="1"/>
  <c r="Y215" i="7"/>
  <c r="Y216" i="7" s="1"/>
  <c r="Y219" i="7" s="1"/>
  <c r="Y213" i="7"/>
  <c r="Y218" i="7" s="1"/>
  <c r="G156" i="7" s="1"/>
  <c r="Y217" i="7"/>
  <c r="AA200" i="7"/>
  <c r="AA201" i="7" s="1"/>
  <c r="Z200" i="7"/>
  <c r="Z207" i="7" s="1"/>
  <c r="Z212" i="7" s="1"/>
  <c r="X146" i="7"/>
  <c r="X147" i="7" s="1"/>
  <c r="X150" i="7" s="1"/>
  <c r="X148" i="7"/>
  <c r="X144" i="7"/>
  <c r="X149" i="7" s="1"/>
  <c r="F87" i="7" s="1"/>
  <c r="Z21" i="6" s="1"/>
  <c r="AA142" i="7"/>
  <c r="AA115" i="7"/>
  <c r="AA129" i="7" s="1"/>
  <c r="Y131" i="7"/>
  <c r="Y138" i="7" s="1"/>
  <c r="Y143" i="7" s="1"/>
  <c r="X132" i="7"/>
  <c r="Z142" i="7"/>
  <c r="Z115" i="7"/>
  <c r="Z129" i="7" s="1"/>
  <c r="R19" i="1"/>
  <c r="J23" i="5" s="1"/>
  <c r="Q19" i="1"/>
  <c r="I23" i="5" s="1"/>
  <c r="J27" i="1"/>
  <c r="K27" i="1"/>
  <c r="V27" i="1"/>
  <c r="L27" i="1"/>
  <c r="Z411" i="7" l="1"/>
  <c r="Y481" i="7"/>
  <c r="Y495" i="7"/>
  <c r="Y496" i="7" s="1"/>
  <c r="Y499" i="7" s="1"/>
  <c r="Y497" i="7"/>
  <c r="Y493" i="7"/>
  <c r="Y498" i="7" s="1"/>
  <c r="G436" i="7" s="1"/>
  <c r="Z486" i="7"/>
  <c r="Z479" i="7"/>
  <c r="AA486" i="7"/>
  <c r="AA479" i="7"/>
  <c r="AA347" i="7"/>
  <c r="AA352" i="7" s="1"/>
  <c r="AA355" i="7" s="1"/>
  <c r="Z355" i="7"/>
  <c r="Z356" i="7" s="1"/>
  <c r="Z359" i="7" s="1"/>
  <c r="Z357" i="7"/>
  <c r="Z353" i="7"/>
  <c r="Z358" i="7" s="1"/>
  <c r="AA341" i="7"/>
  <c r="Z341" i="7"/>
  <c r="Z425" i="7"/>
  <c r="Z426" i="7" s="1"/>
  <c r="Z429" i="7" s="1"/>
  <c r="Z423" i="7"/>
  <c r="Z428" i="7" s="1"/>
  <c r="Z427" i="7"/>
  <c r="AA417" i="7"/>
  <c r="AA422" i="7" s="1"/>
  <c r="AA635" i="7"/>
  <c r="AA637" i="7"/>
  <c r="Y270" i="7"/>
  <c r="Y284" i="7"/>
  <c r="Y285" i="7" s="1"/>
  <c r="Y288" i="7" s="1"/>
  <c r="Y282" i="7"/>
  <c r="Y287" i="7" s="1"/>
  <c r="G225" i="7" s="1"/>
  <c r="Y286" i="7"/>
  <c r="Z269" i="7"/>
  <c r="Z276" i="7" s="1"/>
  <c r="Z281" i="7" s="1"/>
  <c r="AA207" i="7"/>
  <c r="AA212" i="7" s="1"/>
  <c r="Z201" i="7"/>
  <c r="Z215" i="7"/>
  <c r="Z216" i="7" s="1"/>
  <c r="Z219" i="7" s="1"/>
  <c r="Z213" i="7"/>
  <c r="Z218" i="7" s="1"/>
  <c r="Z217" i="7"/>
  <c r="Y146" i="7"/>
  <c r="Y147" i="7" s="1"/>
  <c r="Y150" i="7" s="1"/>
  <c r="Y144" i="7"/>
  <c r="Y149" i="7" s="1"/>
  <c r="G87" i="7" s="1"/>
  <c r="Y148" i="7"/>
  <c r="AA137" i="7"/>
  <c r="AA130" i="7"/>
  <c r="Z137" i="7"/>
  <c r="Z130" i="7"/>
  <c r="Y132" i="7"/>
  <c r="AA34" i="14"/>
  <c r="AA17" i="14" s="1"/>
  <c r="AA480" i="7" l="1"/>
  <c r="Z480" i="7"/>
  <c r="Z487" i="7" s="1"/>
  <c r="Z492" i="7" s="1"/>
  <c r="AA357" i="7"/>
  <c r="AA353" i="7"/>
  <c r="AA358" i="7" s="1"/>
  <c r="AA356" i="7"/>
  <c r="AA359" i="7" s="1"/>
  <c r="F297" i="7" s="1"/>
  <c r="AA28" i="6" s="1"/>
  <c r="AA638" i="7"/>
  <c r="F576" i="7" s="1"/>
  <c r="F577" i="7"/>
  <c r="F578" i="7" s="1"/>
  <c r="AA425" i="7"/>
  <c r="AA426" i="7" s="1"/>
  <c r="AA423" i="7"/>
  <c r="AA428" i="7" s="1"/>
  <c r="AA427" i="7"/>
  <c r="Z284" i="7"/>
  <c r="Z285" i="7" s="1"/>
  <c r="Z288" i="7" s="1"/>
  <c r="Z282" i="7"/>
  <c r="Z287" i="7" s="1"/>
  <c r="Z286" i="7"/>
  <c r="Z270" i="7"/>
  <c r="AA276" i="7"/>
  <c r="AA281" i="7" s="1"/>
  <c r="AA215" i="7"/>
  <c r="AA216" i="7" s="1"/>
  <c r="AA213" i="7"/>
  <c r="AA218" i="7" s="1"/>
  <c r="AA217" i="7"/>
  <c r="Z131" i="7"/>
  <c r="Z138" i="7" s="1"/>
  <c r="Z143" i="7" s="1"/>
  <c r="AA131" i="7"/>
  <c r="AB34" i="14"/>
  <c r="AB17" i="14" s="1"/>
  <c r="AC34" i="14"/>
  <c r="AC17" i="14" s="1"/>
  <c r="AD34" i="14"/>
  <c r="AD17" i="14" s="1"/>
  <c r="AE34" i="14"/>
  <c r="AE17" i="14" s="1"/>
  <c r="AF34" i="14"/>
  <c r="AF17" i="14" s="1"/>
  <c r="AG34" i="14"/>
  <c r="AG17" i="14" s="1"/>
  <c r="AT37" i="14"/>
  <c r="AS37" i="14"/>
  <c r="AS34" i="14" s="1"/>
  <c r="AS17" i="14" s="1"/>
  <c r="AL34" i="14"/>
  <c r="AL17" i="14" s="1"/>
  <c r="AM34" i="14"/>
  <c r="AM17" i="14" s="1"/>
  <c r="F34" i="14"/>
  <c r="F17" i="14" s="1"/>
  <c r="E34" i="14"/>
  <c r="E17" i="14" s="1"/>
  <c r="B36" i="14"/>
  <c r="Z34" i="14"/>
  <c r="Z17" i="14" s="1"/>
  <c r="Y34" i="14"/>
  <c r="Y17" i="14" s="1"/>
  <c r="X34" i="14"/>
  <c r="X17" i="14" s="1"/>
  <c r="W34" i="14"/>
  <c r="W17" i="14" s="1"/>
  <c r="R34" i="14"/>
  <c r="R17" i="14" s="1"/>
  <c r="Q34" i="14"/>
  <c r="Q17" i="14" s="1"/>
  <c r="P34" i="14"/>
  <c r="P17" i="14" s="1"/>
  <c r="O34" i="14"/>
  <c r="O17" i="14" s="1"/>
  <c r="Z481" i="7" l="1"/>
  <c r="Z495" i="7"/>
  <c r="Z496" i="7" s="1"/>
  <c r="Z499" i="7" s="1"/>
  <c r="Z497" i="7"/>
  <c r="Z493" i="7"/>
  <c r="Z498" i="7" s="1"/>
  <c r="AA487" i="7"/>
  <c r="AA492" i="7" s="1"/>
  <c r="F298" i="7"/>
  <c r="AA481" i="7"/>
  <c r="AA429" i="7"/>
  <c r="F367" i="7" s="1"/>
  <c r="AA33" i="6" s="1"/>
  <c r="F368" i="7"/>
  <c r="AA284" i="7"/>
  <c r="AA285" i="7" s="1"/>
  <c r="AA282" i="7"/>
  <c r="AA287" i="7" s="1"/>
  <c r="AA286" i="7"/>
  <c r="AA219" i="7"/>
  <c r="F157" i="7" s="1"/>
  <c r="AA23" i="6" s="1"/>
  <c r="F158" i="7"/>
  <c r="Z146" i="7"/>
  <c r="Z147" i="7" s="1"/>
  <c r="Z150" i="7" s="1"/>
  <c r="Z148" i="7"/>
  <c r="Z144" i="7"/>
  <c r="Z149" i="7" s="1"/>
  <c r="Z132" i="7"/>
  <c r="AA138" i="7"/>
  <c r="AA143" i="7" s="1"/>
  <c r="AA132" i="7"/>
  <c r="AO37" i="14"/>
  <c r="AP37" i="14"/>
  <c r="C34" i="14"/>
  <c r="C17" i="14" s="1"/>
  <c r="K34" i="14"/>
  <c r="K17" i="14" s="1"/>
  <c r="D34" i="14"/>
  <c r="D17" i="14" s="1"/>
  <c r="L34" i="14"/>
  <c r="L17" i="14" s="1"/>
  <c r="AT34" i="14"/>
  <c r="AT17" i="14" s="1"/>
  <c r="AU37" i="14"/>
  <c r="AI34" i="14"/>
  <c r="AI17" i="14" s="1"/>
  <c r="AH34" i="14"/>
  <c r="AH17" i="14" s="1"/>
  <c r="F369" i="7" l="1"/>
  <c r="X33" i="6"/>
  <c r="F299" i="7"/>
  <c r="X28" i="6"/>
  <c r="F159" i="7"/>
  <c r="X23" i="6"/>
  <c r="AA495" i="7"/>
  <c r="AA496" i="7" s="1"/>
  <c r="AA493" i="7"/>
  <c r="AA498" i="7" s="1"/>
  <c r="AA497" i="7"/>
  <c r="AA288" i="7"/>
  <c r="F226" i="7" s="1"/>
  <c r="AA27" i="6" s="1"/>
  <c r="F227" i="7"/>
  <c r="AA146" i="7"/>
  <c r="AA147" i="7" s="1"/>
  <c r="AA144" i="7"/>
  <c r="AA149" i="7" s="1"/>
  <c r="AA148" i="7"/>
  <c r="U27" i="1"/>
  <c r="AJ34" i="14"/>
  <c r="AJ17" i="14" s="1"/>
  <c r="T39" i="1"/>
  <c r="T36" i="1" s="1"/>
  <c r="M34" i="14"/>
  <c r="M17" i="14" s="1"/>
  <c r="AK34" i="14"/>
  <c r="AK17" i="14" s="1"/>
  <c r="N34" i="14"/>
  <c r="N17" i="14" s="1"/>
  <c r="K39" i="1"/>
  <c r="K36" i="1" s="1"/>
  <c r="S39" i="1"/>
  <c r="S36" i="1" s="1"/>
  <c r="L39" i="1"/>
  <c r="L36" i="1" s="1"/>
  <c r="F228" i="7" l="1"/>
  <c r="X27" i="6"/>
  <c r="AA499" i="7"/>
  <c r="F437" i="7" s="1"/>
  <c r="AA34" i="6" s="1"/>
  <c r="F438" i="7"/>
  <c r="AA150" i="7"/>
  <c r="F88" i="7" s="1"/>
  <c r="AA21" i="6" s="1"/>
  <c r="F89" i="7"/>
  <c r="V39" i="1"/>
  <c r="V36" i="1" s="1"/>
  <c r="U39" i="1"/>
  <c r="U36" i="1" s="1"/>
  <c r="F439" i="7" l="1"/>
  <c r="X34" i="6"/>
  <c r="F90" i="7"/>
  <c r="X21" i="6"/>
  <c r="AH36" i="3"/>
  <c r="AD36" i="3"/>
  <c r="AC36" i="3"/>
  <c r="Z26" i="3"/>
  <c r="Z27" i="3"/>
  <c r="Z28" i="3"/>
  <c r="Z30" i="3" s="1"/>
  <c r="Z31" i="3"/>
  <c r="Z34" i="3"/>
  <c r="Z35" i="3"/>
  <c r="Z36" i="3"/>
  <c r="AO34" i="14" l="1"/>
  <c r="AO17" i="14" s="1"/>
  <c r="AP34" i="14"/>
  <c r="AP17" i="14" s="1"/>
  <c r="AU17" i="14" s="1"/>
  <c r="T20" i="1"/>
  <c r="S20" i="1"/>
  <c r="L20" i="1"/>
  <c r="K20" i="1"/>
  <c r="T19" i="1" l="1"/>
  <c r="L23" i="5" s="1"/>
  <c r="V20" i="1"/>
  <c r="S19" i="1"/>
  <c r="K23" i="5" s="1"/>
  <c r="U20" i="1"/>
  <c r="K19" i="1"/>
  <c r="C23" i="5" s="1"/>
  <c r="L19" i="1"/>
  <c r="D23" i="5" s="1"/>
  <c r="M23" i="5" l="1"/>
  <c r="N23" i="5"/>
  <c r="V19" i="1"/>
  <c r="U19" i="1"/>
  <c r="A40" i="6" l="1"/>
  <c r="B40" i="6"/>
  <c r="I20" i="6"/>
  <c r="J20" i="6"/>
  <c r="E20" i="6"/>
  <c r="E24" i="6" s="1"/>
  <c r="G20" i="6"/>
  <c r="G24" i="6" s="1"/>
  <c r="A20" i="6"/>
  <c r="B20" i="6"/>
  <c r="A21" i="6"/>
  <c r="B21" i="6"/>
  <c r="A19" i="6"/>
  <c r="B19" i="6"/>
  <c r="AB24" i="1"/>
  <c r="AC24" i="13" s="1"/>
  <c r="D39" i="1"/>
  <c r="E39" i="1" l="1"/>
  <c r="Q37" i="3" l="1"/>
  <c r="A22" i="3"/>
  <c r="A23" i="3"/>
  <c r="A27" i="3"/>
  <c r="A31" i="3"/>
  <c r="A36" i="3"/>
  <c r="A37" i="3"/>
  <c r="A21" i="3"/>
  <c r="H24" i="1" l="1"/>
  <c r="AH22" i="3"/>
  <c r="AH23" i="3"/>
  <c r="I24" i="1" l="1"/>
  <c r="I24" i="13"/>
  <c r="Q21" i="6"/>
  <c r="Q23" i="3"/>
  <c r="R23" i="3" s="1"/>
  <c r="S21" i="6"/>
  <c r="AH38" i="3"/>
  <c r="AC38" i="3"/>
  <c r="AC22" i="3"/>
  <c r="AD22" i="3"/>
  <c r="AC23" i="3"/>
  <c r="AD23" i="3"/>
  <c r="Z22" i="3"/>
  <c r="Z23" i="3"/>
  <c r="AH21" i="3"/>
  <c r="AH26" i="3" s="1"/>
  <c r="AD21" i="3"/>
  <c r="AC21" i="3"/>
  <c r="AC26" i="3" s="1"/>
  <c r="Z21" i="3"/>
  <c r="O22" i="3"/>
  <c r="O23" i="3"/>
  <c r="C32" i="19" l="1"/>
  <c r="N32" i="19" s="1"/>
  <c r="J24" i="13"/>
  <c r="O21" i="6"/>
  <c r="P21" i="6" s="1"/>
  <c r="S23" i="3"/>
  <c r="T23" i="3"/>
  <c r="U23" i="3" l="1"/>
  <c r="B37" i="3" l="1"/>
  <c r="B28" i="3"/>
  <c r="B22" i="3"/>
  <c r="B23" i="3"/>
  <c r="B21" i="3"/>
  <c r="O21" i="3"/>
  <c r="O26" i="3" s="1"/>
  <c r="J39" i="1" l="1"/>
  <c r="AU34" i="14" l="1"/>
  <c r="AA39" i="1"/>
  <c r="AA36" i="1" s="1"/>
  <c r="AA19" i="1" s="1"/>
  <c r="K24" i="5" s="1"/>
  <c r="B66" i="7"/>
  <c r="B67" i="7"/>
  <c r="B69" i="7"/>
  <c r="B71" i="7"/>
  <c r="B73" i="7"/>
  <c r="B39" i="7"/>
  <c r="C73" i="7"/>
  <c r="D37" i="7"/>
  <c r="E37" i="7" s="1"/>
  <c r="D73" i="7"/>
  <c r="D64" i="7"/>
  <c r="E64" i="7" s="1"/>
  <c r="F64" i="7" s="1"/>
  <c r="G64" i="7" s="1"/>
  <c r="H64" i="7" s="1"/>
  <c r="I64" i="7" s="1"/>
  <c r="J64" i="7" s="1"/>
  <c r="K64" i="7" s="1"/>
  <c r="L64" i="7" s="1"/>
  <c r="M64" i="7" s="1"/>
  <c r="N64" i="7" s="1"/>
  <c r="O64" i="7" s="1"/>
  <c r="P64" i="7" s="1"/>
  <c r="Q64" i="7" s="1"/>
  <c r="Q76" i="7" s="1"/>
  <c r="B76" i="7"/>
  <c r="C76" i="7"/>
  <c r="D42" i="7"/>
  <c r="E42" i="7" s="1"/>
  <c r="F42" i="7" s="1"/>
  <c r="G42" i="7" s="1"/>
  <c r="H42" i="7" s="1"/>
  <c r="I42" i="7" s="1"/>
  <c r="J42" i="7" s="1"/>
  <c r="K42" i="7" s="1"/>
  <c r="L42" i="7" s="1"/>
  <c r="M42" i="7" s="1"/>
  <c r="N42" i="7" s="1"/>
  <c r="O42" i="7" s="1"/>
  <c r="P42" i="7" s="1"/>
  <c r="Q42" i="7" s="1"/>
  <c r="R42" i="7" s="1"/>
  <c r="S42" i="7" s="1"/>
  <c r="T42" i="7" s="1"/>
  <c r="U42" i="7" s="1"/>
  <c r="V42" i="7" s="1"/>
  <c r="W42" i="7" s="1"/>
  <c r="X42" i="7" s="1"/>
  <c r="Y42" i="7" s="1"/>
  <c r="Z42" i="7" s="1"/>
  <c r="AA42" i="7" s="1"/>
  <c r="D48" i="7"/>
  <c r="E48" i="7" s="1"/>
  <c r="F48" i="7" s="1"/>
  <c r="G48" i="7" s="1"/>
  <c r="H48" i="7" s="1"/>
  <c r="I48" i="7" s="1"/>
  <c r="J48" i="7" s="1"/>
  <c r="K48" i="7" s="1"/>
  <c r="L48" i="7" s="1"/>
  <c r="M48" i="7" s="1"/>
  <c r="N48" i="7" s="1"/>
  <c r="O48" i="7" s="1"/>
  <c r="P48" i="7" s="1"/>
  <c r="Q48" i="7" s="1"/>
  <c r="R48" i="7" s="1"/>
  <c r="S48" i="7" s="1"/>
  <c r="T48" i="7" s="1"/>
  <c r="U48" i="7" s="1"/>
  <c r="V48" i="7" s="1"/>
  <c r="W48" i="7" s="1"/>
  <c r="X48" i="7" s="1"/>
  <c r="Y48" i="7" s="1"/>
  <c r="Z48" i="7" s="1"/>
  <c r="AA48" i="7" s="1"/>
  <c r="A52" i="7"/>
  <c r="D65" i="7"/>
  <c r="E65" i="7" s="1"/>
  <c r="F65" i="7" s="1"/>
  <c r="G65" i="7" s="1"/>
  <c r="H65" i="7" s="1"/>
  <c r="I65" i="7" s="1"/>
  <c r="J65" i="7" s="1"/>
  <c r="K65" i="7" s="1"/>
  <c r="L65" i="7" s="1"/>
  <c r="M65" i="7" s="1"/>
  <c r="N65" i="7" s="1"/>
  <c r="O65" i="7" s="1"/>
  <c r="P65" i="7" s="1"/>
  <c r="Q65" i="7" s="1"/>
  <c r="R65" i="7" s="1"/>
  <c r="S65" i="7" s="1"/>
  <c r="T65" i="7" s="1"/>
  <c r="U65" i="7" s="1"/>
  <c r="V65" i="7" s="1"/>
  <c r="W65" i="7" s="1"/>
  <c r="X65" i="7" s="1"/>
  <c r="Y65" i="7" s="1"/>
  <c r="Z65" i="7" s="1"/>
  <c r="AA65" i="7" s="1"/>
  <c r="D21" i="10"/>
  <c r="E21" i="10" s="1"/>
  <c r="B28" i="12"/>
  <c r="B30" i="12" s="1"/>
  <c r="F34" i="10"/>
  <c r="AB23" i="1"/>
  <c r="E36" i="1"/>
  <c r="AC35" i="3"/>
  <c r="B35" i="3"/>
  <c r="B36" i="3"/>
  <c r="B34" i="3"/>
  <c r="B31" i="3"/>
  <c r="B30" i="3"/>
  <c r="B27" i="3"/>
  <c r="B26" i="3"/>
  <c r="S21" i="3"/>
  <c r="D36" i="1"/>
  <c r="J38" i="3"/>
  <c r="T27" i="3"/>
  <c r="S27" i="3"/>
  <c r="R27" i="3"/>
  <c r="T41" i="6"/>
  <c r="T38" i="6"/>
  <c r="AB27" i="1" l="1"/>
  <c r="AC23" i="13"/>
  <c r="AC27" i="13" s="1"/>
  <c r="D76" i="7"/>
  <c r="M76" i="7"/>
  <c r="P76" i="7"/>
  <c r="O76" i="7"/>
  <c r="H76" i="7"/>
  <c r="L76" i="7"/>
  <c r="I76" i="7"/>
  <c r="C39" i="7"/>
  <c r="D39" i="7" s="1"/>
  <c r="E39" i="7" s="1"/>
  <c r="F39" i="7" s="1"/>
  <c r="G39" i="7" s="1"/>
  <c r="H39" i="7" s="1"/>
  <c r="I39" i="7" s="1"/>
  <c r="J39" i="7" s="1"/>
  <c r="K39" i="7" s="1"/>
  <c r="L39" i="7" s="1"/>
  <c r="M39" i="7" s="1"/>
  <c r="N39" i="7" s="1"/>
  <c r="O39" i="7" s="1"/>
  <c r="P39" i="7" s="1"/>
  <c r="Q39" i="7" s="1"/>
  <c r="R39" i="7" s="1"/>
  <c r="S39" i="7" s="1"/>
  <c r="T39" i="7" s="1"/>
  <c r="U39" i="7" s="1"/>
  <c r="V39" i="7" s="1"/>
  <c r="W39" i="7" s="1"/>
  <c r="X39" i="7" s="1"/>
  <c r="Y39" i="7" s="1"/>
  <c r="Z39" i="7" s="1"/>
  <c r="AA39" i="7" s="1"/>
  <c r="J76" i="7"/>
  <c r="N76" i="7"/>
  <c r="K76" i="7"/>
  <c r="G34" i="10"/>
  <c r="G33" i="16" s="1"/>
  <c r="F33" i="16"/>
  <c r="G76" i="7"/>
  <c r="C16" i="12"/>
  <c r="D21" i="16"/>
  <c r="F76" i="7"/>
  <c r="E76" i="7"/>
  <c r="G22" i="10"/>
  <c r="F22" i="10"/>
  <c r="B22" i="12"/>
  <c r="B45" i="12" s="1"/>
  <c r="B60" i="7"/>
  <c r="B68" i="7" s="1"/>
  <c r="C43" i="7"/>
  <c r="H23" i="1"/>
  <c r="J36" i="1"/>
  <c r="Q36" i="6"/>
  <c r="AH19" i="3"/>
  <c r="T21" i="3"/>
  <c r="G41" i="6"/>
  <c r="G38" i="6" s="1"/>
  <c r="E41" i="6"/>
  <c r="E38" i="6" s="1"/>
  <c r="AH35" i="3"/>
  <c r="R21" i="3"/>
  <c r="U27" i="3"/>
  <c r="G18" i="6"/>
  <c r="G17" i="6" s="1"/>
  <c r="O19" i="3"/>
  <c r="O18" i="3" s="1"/>
  <c r="E18" i="6"/>
  <c r="E17" i="6" s="1"/>
  <c r="AC19" i="3"/>
  <c r="AC18" i="3" s="1"/>
  <c r="J19" i="3"/>
  <c r="J18" i="3" s="1"/>
  <c r="D22" i="10"/>
  <c r="R64" i="7"/>
  <c r="F37" i="7"/>
  <c r="I23" i="13" l="1"/>
  <c r="I27" i="13" s="1"/>
  <c r="I23" i="1"/>
  <c r="C31" i="19" s="1"/>
  <c r="C38" i="12"/>
  <c r="C43" i="12" s="1"/>
  <c r="F21" i="10"/>
  <c r="F21" i="16" s="1"/>
  <c r="E21" i="16"/>
  <c r="C46" i="7"/>
  <c r="C60" i="7" s="1"/>
  <c r="D43" i="7"/>
  <c r="C21" i="12"/>
  <c r="F22" i="16"/>
  <c r="G22" i="16"/>
  <c r="D22" i="16"/>
  <c r="Q22" i="3"/>
  <c r="Q26" i="3" s="1"/>
  <c r="Q20" i="6"/>
  <c r="Q24" i="6" s="1"/>
  <c r="B32" i="12"/>
  <c r="B52" i="12" s="1"/>
  <c r="B44" i="12" s="1"/>
  <c r="B53" i="12" s="1"/>
  <c r="F37" i="10"/>
  <c r="F36" i="16" s="1"/>
  <c r="F28" i="12"/>
  <c r="E28" i="12"/>
  <c r="D37" i="10"/>
  <c r="C28" i="12"/>
  <c r="C30" i="12" s="1"/>
  <c r="S34" i="3"/>
  <c r="Q34" i="3"/>
  <c r="H27" i="1"/>
  <c r="I36" i="1"/>
  <c r="E16" i="6"/>
  <c r="Q38" i="3"/>
  <c r="T34" i="3"/>
  <c r="AH18" i="3"/>
  <c r="G16" i="6"/>
  <c r="U21" i="3"/>
  <c r="R37" i="3"/>
  <c r="T37" i="3"/>
  <c r="S37" i="3"/>
  <c r="R34" i="3"/>
  <c r="S36" i="6"/>
  <c r="D16" i="12"/>
  <c r="D38" i="12" s="1"/>
  <c r="E73" i="7"/>
  <c r="E22" i="10"/>
  <c r="G37" i="7"/>
  <c r="R76" i="7"/>
  <c r="S64" i="7"/>
  <c r="N31" i="19" l="1"/>
  <c r="S20" i="6"/>
  <c r="J23" i="13"/>
  <c r="J27" i="13" s="1"/>
  <c r="D36" i="16"/>
  <c r="G21" i="10"/>
  <c r="D28" i="12"/>
  <c r="D30" i="12" s="1"/>
  <c r="D37" i="12" s="1"/>
  <c r="E22" i="16"/>
  <c r="C68" i="7"/>
  <c r="E43" i="7"/>
  <c r="F43" i="7" s="1"/>
  <c r="D46" i="7"/>
  <c r="B31" i="12"/>
  <c r="F22" i="12"/>
  <c r="F45" i="12" s="1"/>
  <c r="E22" i="12"/>
  <c r="E45" i="12" s="1"/>
  <c r="E16" i="12"/>
  <c r="E38" i="12" s="1"/>
  <c r="F80" i="10"/>
  <c r="F79" i="16" s="1"/>
  <c r="F16" i="12"/>
  <c r="F38" i="12" s="1"/>
  <c r="G37" i="10"/>
  <c r="G36" i="16" s="1"/>
  <c r="I27" i="1"/>
  <c r="S24" i="6"/>
  <c r="D21" i="12"/>
  <c r="C22" i="12"/>
  <c r="C45" i="12" s="1"/>
  <c r="C37" i="12"/>
  <c r="I39" i="1"/>
  <c r="R22" i="3"/>
  <c r="S22" i="3"/>
  <c r="T22" i="3"/>
  <c r="U37" i="3"/>
  <c r="U34" i="3"/>
  <c r="S76" i="7"/>
  <c r="T64" i="7"/>
  <c r="H37" i="7"/>
  <c r="E37" i="10"/>
  <c r="E36" i="16" l="1"/>
  <c r="G80" i="10"/>
  <c r="G79" i="16" s="1"/>
  <c r="G21" i="16"/>
  <c r="G28" i="12"/>
  <c r="G38" i="12"/>
  <c r="D22" i="12"/>
  <c r="D45" i="12" s="1"/>
  <c r="G45" i="12" s="1"/>
  <c r="E46" i="7"/>
  <c r="O20" i="6"/>
  <c r="P20" i="6" s="1"/>
  <c r="D60" i="7"/>
  <c r="D68" i="7" s="1"/>
  <c r="F43" i="12"/>
  <c r="F21" i="12"/>
  <c r="F30" i="12"/>
  <c r="F37" i="12" s="1"/>
  <c r="D43" i="12"/>
  <c r="E43" i="12"/>
  <c r="E21" i="12"/>
  <c r="E30" i="12"/>
  <c r="E37" i="12" s="1"/>
  <c r="G16" i="12"/>
  <c r="G25" i="4"/>
  <c r="M21" i="4"/>
  <c r="M25" i="4" s="1"/>
  <c r="H25" i="4"/>
  <c r="N21" i="4"/>
  <c r="N25" i="4" s="1"/>
  <c r="D57" i="12"/>
  <c r="F73" i="7"/>
  <c r="U22" i="3"/>
  <c r="T76" i="7"/>
  <c r="U64" i="7"/>
  <c r="I37" i="7"/>
  <c r="D46" i="16" l="1"/>
  <c r="G22" i="12"/>
  <c r="E60" i="7"/>
  <c r="E68" i="7" s="1"/>
  <c r="B33" i="12"/>
  <c r="G30" i="12"/>
  <c r="G21" i="12"/>
  <c r="G43" i="12"/>
  <c r="B57" i="12"/>
  <c r="F57" i="12"/>
  <c r="G43" i="7"/>
  <c r="G45" i="7" s="1"/>
  <c r="F46" i="7"/>
  <c r="J37" i="7"/>
  <c r="U76" i="7"/>
  <c r="V64" i="7"/>
  <c r="F46" i="16" l="1"/>
  <c r="E46" i="16"/>
  <c r="C47" i="16"/>
  <c r="C51" i="16"/>
  <c r="B34" i="12"/>
  <c r="B35" i="12" s="1"/>
  <c r="D33" i="12"/>
  <c r="C84" i="16"/>
  <c r="E33" i="12"/>
  <c r="C33" i="12"/>
  <c r="C57" i="12"/>
  <c r="G37" i="12"/>
  <c r="E57" i="12"/>
  <c r="G54" i="12"/>
  <c r="F60" i="7"/>
  <c r="F68" i="7" s="1"/>
  <c r="G46" i="7"/>
  <c r="G60" i="7" s="1"/>
  <c r="G68" i="7" s="1"/>
  <c r="K37" i="7"/>
  <c r="V76" i="7"/>
  <c r="W64" i="7"/>
  <c r="C18" i="15" l="1"/>
  <c r="G73" i="7"/>
  <c r="G56" i="12"/>
  <c r="H43" i="7"/>
  <c r="H45" i="7" s="1"/>
  <c r="I43" i="7" s="1"/>
  <c r="I45" i="7" s="1"/>
  <c r="L37" i="7"/>
  <c r="W76" i="7"/>
  <c r="X64" i="7"/>
  <c r="G46" i="16" l="1"/>
  <c r="C15" i="11"/>
  <c r="F33" i="12"/>
  <c r="X76" i="7"/>
  <c r="Y64" i="7"/>
  <c r="M37" i="7"/>
  <c r="C17" i="15" l="1"/>
  <c r="G53" i="16"/>
  <c r="G33" i="12"/>
  <c r="N37" i="7"/>
  <c r="Z64" i="7"/>
  <c r="Y76" i="7"/>
  <c r="C34" i="15" l="1"/>
  <c r="E34" i="15"/>
  <c r="F34" i="15"/>
  <c r="F33" i="15"/>
  <c r="G33" i="15"/>
  <c r="AA64" i="7"/>
  <c r="AA76" i="7" s="1"/>
  <c r="Z76" i="7"/>
  <c r="O37" i="7"/>
  <c r="E33" i="15" l="1"/>
  <c r="E65" i="10"/>
  <c r="G26" i="15"/>
  <c r="P37" i="7"/>
  <c r="E64" i="16" l="1"/>
  <c r="D61" i="12"/>
  <c r="E63" i="10"/>
  <c r="H23" i="11"/>
  <c r="G25" i="15"/>
  <c r="Q37" i="7"/>
  <c r="E62" i="16" l="1"/>
  <c r="E80" i="10"/>
  <c r="H25" i="15"/>
  <c r="H24" i="11"/>
  <c r="H26" i="15" s="1"/>
  <c r="R37" i="7"/>
  <c r="E79" i="16" l="1"/>
  <c r="S37" i="7"/>
  <c r="T37" i="7" l="1"/>
  <c r="U37" i="7" l="1"/>
  <c r="V37" i="7" l="1"/>
  <c r="W37" i="7" l="1"/>
  <c r="X37" i="7" l="1"/>
  <c r="Y37" i="7" l="1"/>
  <c r="Z37" i="7" l="1"/>
  <c r="AA37" i="7" l="1"/>
  <c r="AB36" i="1" l="1"/>
  <c r="H36" i="1" l="1"/>
  <c r="H39" i="1"/>
  <c r="Q41" i="6" l="1"/>
  <c r="Q38" i="6" s="1"/>
  <c r="S41" i="6" l="1"/>
  <c r="S38" i="6" s="1"/>
  <c r="Q35" i="3"/>
  <c r="S38" i="3" l="1"/>
  <c r="S35" i="3" s="1"/>
  <c r="T38" i="3"/>
  <c r="T35" i="3" s="1"/>
  <c r="R38" i="3"/>
  <c r="R35" i="3" s="1"/>
  <c r="U38" i="3" l="1"/>
  <c r="U35" i="3" s="1"/>
  <c r="Q18" i="6" l="1"/>
  <c r="S18" i="6" l="1"/>
  <c r="AB29" i="1" l="1"/>
  <c r="AB31" i="1" l="1"/>
  <c r="AC29" i="13"/>
  <c r="AC31" i="13" s="1"/>
  <c r="AC20" i="13" s="1"/>
  <c r="AC19" i="13" s="1"/>
  <c r="H29" i="1"/>
  <c r="I29" i="1" l="1"/>
  <c r="I29" i="13"/>
  <c r="I31" i="13" s="1"/>
  <c r="I20" i="13" s="1"/>
  <c r="I19" i="13" s="1"/>
  <c r="Q28" i="3"/>
  <c r="Q30" i="3" s="1"/>
  <c r="Q27" i="6"/>
  <c r="Q30" i="6" s="1"/>
  <c r="Q17" i="6" s="1"/>
  <c r="Q16" i="6" s="1"/>
  <c r="H31" i="1"/>
  <c r="C36" i="19" l="1"/>
  <c r="J29" i="13"/>
  <c r="J31" i="13" s="1"/>
  <c r="J20" i="13" s="1"/>
  <c r="J19" i="13" s="1"/>
  <c r="S27" i="6"/>
  <c r="S30" i="6" s="1"/>
  <c r="S17" i="6" s="1"/>
  <c r="S16" i="6" s="1"/>
  <c r="I31" i="1"/>
  <c r="T28" i="3"/>
  <c r="T30" i="3" s="1"/>
  <c r="S28" i="3"/>
  <c r="S30" i="3" s="1"/>
  <c r="R28" i="3"/>
  <c r="R30" i="3" s="1"/>
  <c r="N36" i="19" l="1"/>
  <c r="N29" i="19" s="1"/>
  <c r="N28" i="19" s="1"/>
  <c r="N27" i="19" s="1"/>
  <c r="C29" i="19"/>
  <c r="C28" i="19" s="1"/>
  <c r="C27" i="19" s="1"/>
  <c r="H29" i="4"/>
  <c r="H18" i="4" s="1"/>
  <c r="H17" i="4" s="1"/>
  <c r="N29" i="4"/>
  <c r="N18" i="4" s="1"/>
  <c r="N17" i="4" s="1"/>
  <c r="G29" i="4"/>
  <c r="G18" i="4" s="1"/>
  <c r="G17" i="4" s="1"/>
  <c r="M29" i="4"/>
  <c r="M18" i="4" s="1"/>
  <c r="M17" i="4" s="1"/>
  <c r="O27" i="6"/>
  <c r="P27" i="6" s="1"/>
  <c r="U28" i="3"/>
  <c r="U30" i="3" s="1"/>
  <c r="W39" i="1"/>
  <c r="W36" i="1" s="1"/>
  <c r="AB39" i="1" l="1"/>
  <c r="I20" i="1"/>
  <c r="I19" i="1" s="1"/>
  <c r="D20" i="1"/>
  <c r="D19" i="1" s="1"/>
  <c r="E20" i="1"/>
  <c r="E19" i="1" s="1"/>
  <c r="J20" i="1"/>
  <c r="J19" i="1" s="1"/>
  <c r="W20" i="1"/>
  <c r="W19" i="1" l="1"/>
  <c r="C24" i="5" s="1"/>
  <c r="M24" i="5" s="1"/>
  <c r="C78" i="10"/>
  <c r="AB20" i="1"/>
  <c r="AB19" i="1" s="1"/>
  <c r="C77" i="16" l="1"/>
  <c r="C39" i="11"/>
  <c r="C81" i="10"/>
  <c r="C80" i="16" s="1"/>
  <c r="H20" i="1"/>
  <c r="H19" i="1" s="1"/>
  <c r="C51" i="7" s="1"/>
  <c r="C38" i="11" l="1"/>
  <c r="C41" i="15"/>
  <c r="H39" i="11"/>
  <c r="H41" i="15" s="1"/>
  <c r="B72" i="7"/>
  <c r="B70" i="7" s="1"/>
  <c r="B74" i="7" s="1"/>
  <c r="B77" i="7" s="1"/>
  <c r="C52" i="7"/>
  <c r="C49" i="7"/>
  <c r="D51" i="7"/>
  <c r="F51" i="7"/>
  <c r="H51" i="7"/>
  <c r="E51" i="7"/>
  <c r="G51" i="7"/>
  <c r="I51" i="7"/>
  <c r="J51" i="7"/>
  <c r="K51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AA51" i="7"/>
  <c r="F52" i="7"/>
  <c r="N52" i="7"/>
  <c r="V52" i="7"/>
  <c r="T26" i="3"/>
  <c r="T19" i="3" s="1"/>
  <c r="T18" i="3" s="1"/>
  <c r="R26" i="3"/>
  <c r="R19" i="3" s="1"/>
  <c r="R18" i="3" s="1"/>
  <c r="S26" i="3"/>
  <c r="S19" i="3" s="1"/>
  <c r="S18" i="3" s="1"/>
  <c r="Q19" i="3"/>
  <c r="Q18" i="3" s="1"/>
  <c r="C31" i="11" l="1"/>
  <c r="H38" i="11"/>
  <c r="H40" i="15" s="1"/>
  <c r="C40" i="15"/>
  <c r="Z52" i="7"/>
  <c r="R52" i="7"/>
  <c r="J52" i="7"/>
  <c r="E40" i="7"/>
  <c r="F40" i="7" s="1"/>
  <c r="X52" i="7"/>
  <c r="T52" i="7"/>
  <c r="P52" i="7"/>
  <c r="L52" i="7"/>
  <c r="H52" i="7"/>
  <c r="D52" i="7"/>
  <c r="C50" i="7"/>
  <c r="AA52" i="7"/>
  <c r="Y52" i="7"/>
  <c r="W52" i="7"/>
  <c r="U52" i="7"/>
  <c r="S52" i="7"/>
  <c r="Q52" i="7"/>
  <c r="O52" i="7"/>
  <c r="M52" i="7"/>
  <c r="K52" i="7"/>
  <c r="I52" i="7"/>
  <c r="G52" i="7"/>
  <c r="E52" i="7"/>
  <c r="B75" i="7"/>
  <c r="B79" i="7"/>
  <c r="C71" i="7"/>
  <c r="C70" i="7"/>
  <c r="B78" i="7"/>
  <c r="D49" i="7"/>
  <c r="U26" i="3"/>
  <c r="U19" i="3" s="1"/>
  <c r="U18" i="3" s="1"/>
  <c r="H73" i="7"/>
  <c r="I73" i="7"/>
  <c r="H46" i="7"/>
  <c r="H60" i="7" s="1"/>
  <c r="H31" i="11" l="1"/>
  <c r="C40" i="11"/>
  <c r="C42" i="15" s="1"/>
  <c r="C33" i="15"/>
  <c r="J31" i="11"/>
  <c r="C65" i="10"/>
  <c r="D50" i="7"/>
  <c r="D57" i="7" s="1"/>
  <c r="D59" i="7" s="1"/>
  <c r="C57" i="7"/>
  <c r="C59" i="7" s="1"/>
  <c r="C66" i="7" s="1"/>
  <c r="D67" i="7"/>
  <c r="E49" i="7"/>
  <c r="E71" i="7" s="1"/>
  <c r="D71" i="7"/>
  <c r="D70" i="7"/>
  <c r="J43" i="7"/>
  <c r="H68" i="7"/>
  <c r="I46" i="7"/>
  <c r="I60" i="7" s="1"/>
  <c r="C64" i="16" l="1"/>
  <c r="C63" i="10"/>
  <c r="B61" i="12"/>
  <c r="B58" i="12" s="1"/>
  <c r="B64" i="12" s="1"/>
  <c r="B65" i="12" s="1"/>
  <c r="B71" i="12" s="1"/>
  <c r="C73" i="12" s="1"/>
  <c r="C61" i="7"/>
  <c r="C62" i="7" s="1"/>
  <c r="C63" i="7" s="1"/>
  <c r="E50" i="7"/>
  <c r="E57" i="7" s="1"/>
  <c r="E59" i="7" s="1"/>
  <c r="E66" i="7" s="1"/>
  <c r="E67" i="7"/>
  <c r="F58" i="7"/>
  <c r="F56" i="7" s="1"/>
  <c r="F49" i="7"/>
  <c r="G40" i="7"/>
  <c r="D66" i="7"/>
  <c r="D61" i="7"/>
  <c r="D62" i="7" s="1"/>
  <c r="D63" i="7" s="1"/>
  <c r="E70" i="7"/>
  <c r="I68" i="7"/>
  <c r="J45" i="7"/>
  <c r="J73" i="7" s="1"/>
  <c r="C62" i="16" l="1"/>
  <c r="C80" i="10"/>
  <c r="C69" i="7"/>
  <c r="C74" i="7" s="1"/>
  <c r="C77" i="7" s="1"/>
  <c r="F67" i="7"/>
  <c r="F50" i="7"/>
  <c r="F57" i="7" s="1"/>
  <c r="F59" i="7" s="1"/>
  <c r="F61" i="7" s="1"/>
  <c r="F62" i="7" s="1"/>
  <c r="F63" i="7" s="1"/>
  <c r="G58" i="7"/>
  <c r="G56" i="7" s="1"/>
  <c r="E61" i="7"/>
  <c r="E62" i="7" s="1"/>
  <c r="G49" i="7"/>
  <c r="G71" i="7" s="1"/>
  <c r="H40" i="7"/>
  <c r="F71" i="7"/>
  <c r="F70" i="7"/>
  <c r="G70" i="7" s="1"/>
  <c r="J46" i="7"/>
  <c r="J60" i="7" s="1"/>
  <c r="K43" i="7"/>
  <c r="C82" i="10" l="1"/>
  <c r="C81" i="16" s="1"/>
  <c r="C79" i="16"/>
  <c r="C79" i="7"/>
  <c r="D69" i="7"/>
  <c r="D74" i="7" s="1"/>
  <c r="D77" i="7" s="1"/>
  <c r="D78" i="7" s="1"/>
  <c r="C75" i="7"/>
  <c r="C80" i="7" s="1"/>
  <c r="F66" i="7"/>
  <c r="G67" i="7"/>
  <c r="G50" i="7"/>
  <c r="G57" i="7" s="1"/>
  <c r="G59" i="7" s="1"/>
  <c r="H58" i="7"/>
  <c r="H56" i="7" s="1"/>
  <c r="E63" i="7"/>
  <c r="H49" i="7"/>
  <c r="I40" i="7"/>
  <c r="C78" i="7"/>
  <c r="C81" i="7" s="1"/>
  <c r="K45" i="7"/>
  <c r="K73" i="7" s="1"/>
  <c r="J68" i="7"/>
  <c r="D79" i="7" l="1"/>
  <c r="E69" i="7"/>
  <c r="E74" i="7" s="1"/>
  <c r="E75" i="7" s="1"/>
  <c r="D75" i="7"/>
  <c r="D80" i="7" s="1"/>
  <c r="H50" i="7"/>
  <c r="H67" i="7"/>
  <c r="I58" i="7"/>
  <c r="F69" i="7"/>
  <c r="F74" i="7" s="1"/>
  <c r="F77" i="7" s="1"/>
  <c r="D81" i="7"/>
  <c r="H71" i="7"/>
  <c r="H57" i="7"/>
  <c r="H59" i="7" s="1"/>
  <c r="H70" i="7"/>
  <c r="G66" i="7"/>
  <c r="G61" i="7"/>
  <c r="I49" i="7"/>
  <c r="J40" i="7"/>
  <c r="K46" i="7"/>
  <c r="K60" i="7" s="1"/>
  <c r="L43" i="7"/>
  <c r="E80" i="7" l="1"/>
  <c r="E77" i="7"/>
  <c r="E78" i="7" s="1"/>
  <c r="E81" i="7" s="1"/>
  <c r="E79" i="7"/>
  <c r="I70" i="7"/>
  <c r="F79" i="7"/>
  <c r="F75" i="7"/>
  <c r="F80" i="7" s="1"/>
  <c r="I56" i="7"/>
  <c r="I50" i="7" s="1"/>
  <c r="I57" i="7" s="1"/>
  <c r="I59" i="7" s="1"/>
  <c r="I67" i="7"/>
  <c r="J58" i="7"/>
  <c r="F78" i="7"/>
  <c r="F81" i="7" s="1"/>
  <c r="G62" i="7"/>
  <c r="G63" i="7" s="1"/>
  <c r="J49" i="7"/>
  <c r="K40" i="7"/>
  <c r="I71" i="7"/>
  <c r="H66" i="7"/>
  <c r="H61" i="7"/>
  <c r="H62" i="7" s="1"/>
  <c r="H63" i="7" s="1"/>
  <c r="K68" i="7"/>
  <c r="L45" i="7"/>
  <c r="L73" i="7" s="1"/>
  <c r="J70" i="7" l="1"/>
  <c r="J56" i="7"/>
  <c r="J50" i="7" s="1"/>
  <c r="J57" i="7" s="1"/>
  <c r="J59" i="7" s="1"/>
  <c r="J67" i="7"/>
  <c r="K58" i="7"/>
  <c r="J71" i="7"/>
  <c r="G69" i="7"/>
  <c r="G74" i="7" s="1"/>
  <c r="I66" i="7"/>
  <c r="I61" i="7"/>
  <c r="K49" i="7"/>
  <c r="L40" i="7"/>
  <c r="M43" i="7"/>
  <c r="M45" i="7" s="1"/>
  <c r="M73" i="7" s="1"/>
  <c r="L46" i="7"/>
  <c r="L60" i="7" s="1"/>
  <c r="L58" i="7" l="1"/>
  <c r="K56" i="7"/>
  <c r="K50" i="7" s="1"/>
  <c r="K57" i="7" s="1"/>
  <c r="K59" i="7" s="1"/>
  <c r="K67" i="7"/>
  <c r="H69" i="7"/>
  <c r="H74" i="7" s="1"/>
  <c r="H77" i="7" s="1"/>
  <c r="L49" i="7"/>
  <c r="M40" i="7"/>
  <c r="K71" i="7"/>
  <c r="K70" i="7"/>
  <c r="I62" i="7"/>
  <c r="I63" i="7" s="1"/>
  <c r="G77" i="7"/>
  <c r="G79" i="7"/>
  <c r="G75" i="7"/>
  <c r="G80" i="7" s="1"/>
  <c r="J66" i="7"/>
  <c r="J61" i="7"/>
  <c r="M46" i="7"/>
  <c r="M60" i="7" s="1"/>
  <c r="L68" i="7"/>
  <c r="N43" i="7"/>
  <c r="L67" i="7" l="1"/>
  <c r="L56" i="7"/>
  <c r="L50" i="7" s="1"/>
  <c r="L57" i="7" s="1"/>
  <c r="L59" i="7" s="1"/>
  <c r="M58" i="7"/>
  <c r="H79" i="7"/>
  <c r="H75" i="7"/>
  <c r="H80" i="7" s="1"/>
  <c r="J62" i="7"/>
  <c r="J63" i="7" s="1"/>
  <c r="G78" i="7"/>
  <c r="G81" i="7" s="1"/>
  <c r="H78" i="7"/>
  <c r="K66" i="7"/>
  <c r="K61" i="7"/>
  <c r="I69" i="7"/>
  <c r="I74" i="7" s="1"/>
  <c r="N40" i="7"/>
  <c r="M49" i="7"/>
  <c r="L71" i="7"/>
  <c r="L70" i="7"/>
  <c r="N45" i="7"/>
  <c r="N73" i="7" s="1"/>
  <c r="M68" i="7"/>
  <c r="M56" i="7" l="1"/>
  <c r="M50" i="7" s="1"/>
  <c r="M57" i="7" s="1"/>
  <c r="M59" i="7" s="1"/>
  <c r="M67" i="7"/>
  <c r="N58" i="7"/>
  <c r="O58" i="7" s="1"/>
  <c r="J69" i="7"/>
  <c r="J74" i="7" s="1"/>
  <c r="J77" i="7" s="1"/>
  <c r="M71" i="7"/>
  <c r="M70" i="7"/>
  <c r="N49" i="7"/>
  <c r="O40" i="7"/>
  <c r="K62" i="7"/>
  <c r="I77" i="7"/>
  <c r="I79" i="7"/>
  <c r="I75" i="7"/>
  <c r="I80" i="7" s="1"/>
  <c r="L66" i="7"/>
  <c r="L61" i="7"/>
  <c r="L62" i="7" s="1"/>
  <c r="L63" i="7" s="1"/>
  <c r="H81" i="7"/>
  <c r="N46" i="7"/>
  <c r="N60" i="7" s="1"/>
  <c r="O43" i="7"/>
  <c r="J79" i="7" l="1"/>
  <c r="K69" i="7"/>
  <c r="K74" i="7" s="1"/>
  <c r="K77" i="7" s="1"/>
  <c r="K78" i="7" s="1"/>
  <c r="P58" i="7"/>
  <c r="P67" i="7" s="1"/>
  <c r="O67" i="7"/>
  <c r="O56" i="7"/>
  <c r="O50" i="7" s="1"/>
  <c r="N67" i="7"/>
  <c r="N56" i="7"/>
  <c r="N50" i="7" s="1"/>
  <c r="N57" i="7" s="1"/>
  <c r="N59" i="7" s="1"/>
  <c r="J75" i="7"/>
  <c r="J80" i="7" s="1"/>
  <c r="K63" i="7"/>
  <c r="J78" i="7"/>
  <c r="I78" i="7"/>
  <c r="I81" i="7" s="1"/>
  <c r="N71" i="7"/>
  <c r="N70" i="7"/>
  <c r="M66" i="7"/>
  <c r="M61" i="7"/>
  <c r="M62" i="7" s="1"/>
  <c r="M63" i="7" s="1"/>
  <c r="O49" i="7"/>
  <c r="P40" i="7"/>
  <c r="O45" i="7"/>
  <c r="O73" i="7" s="1"/>
  <c r="N68" i="7"/>
  <c r="K79" i="7" l="1"/>
  <c r="N66" i="7"/>
  <c r="N61" i="7"/>
  <c r="N62" i="7" s="1"/>
  <c r="N63" i="7" s="1"/>
  <c r="P56" i="7"/>
  <c r="P50" i="7" s="1"/>
  <c r="Q58" i="7"/>
  <c r="Q67" i="7" s="1"/>
  <c r="L69" i="7"/>
  <c r="L74" i="7" s="1"/>
  <c r="L75" i="7" s="1"/>
  <c r="K75" i="7"/>
  <c r="K80" i="7" s="1"/>
  <c r="Q40" i="7"/>
  <c r="P49" i="7"/>
  <c r="O46" i="7"/>
  <c r="O60" i="7" s="1"/>
  <c r="O71" i="7"/>
  <c r="O57" i="7"/>
  <c r="O59" i="7" s="1"/>
  <c r="O66" i="7" s="1"/>
  <c r="O70" i="7"/>
  <c r="J81" i="7"/>
  <c r="K81" i="7"/>
  <c r="P43" i="7"/>
  <c r="R58" i="7" l="1"/>
  <c r="S58" i="7" s="1"/>
  <c r="Q56" i="7"/>
  <c r="Q50" i="7" s="1"/>
  <c r="M69" i="7"/>
  <c r="M74" i="7" s="1"/>
  <c r="M77" i="7" s="1"/>
  <c r="L77" i="7"/>
  <c r="L78" i="7" s="1"/>
  <c r="L81" i="7" s="1"/>
  <c r="L79" i="7"/>
  <c r="L80" i="7"/>
  <c r="O61" i="7"/>
  <c r="O62" i="7" s="1"/>
  <c r="O63" i="7" s="1"/>
  <c r="O68" i="7"/>
  <c r="P57" i="7"/>
  <c r="P59" i="7" s="1"/>
  <c r="P66" i="7" s="1"/>
  <c r="P71" i="7"/>
  <c r="P70" i="7"/>
  <c r="R67" i="7"/>
  <c r="R40" i="7"/>
  <c r="Q49" i="7"/>
  <c r="P45" i="7"/>
  <c r="P73" i="7" s="1"/>
  <c r="R56" i="7" l="1"/>
  <c r="R50" i="7" s="1"/>
  <c r="N69" i="7"/>
  <c r="N74" i="7" s="1"/>
  <c r="N75" i="7" s="1"/>
  <c r="M75" i="7"/>
  <c r="M80" i="7" s="1"/>
  <c r="M79" i="7"/>
  <c r="M78" i="7"/>
  <c r="M81" i="7" s="1"/>
  <c r="Q71" i="7"/>
  <c r="Q57" i="7"/>
  <c r="Q59" i="7" s="1"/>
  <c r="Q66" i="7" s="1"/>
  <c r="Q70" i="7"/>
  <c r="T58" i="7"/>
  <c r="S67" i="7"/>
  <c r="S56" i="7"/>
  <c r="S50" i="7" s="1"/>
  <c r="S40" i="7"/>
  <c r="R49" i="7"/>
  <c r="Q43" i="7"/>
  <c r="Q45" i="7" s="1"/>
  <c r="P46" i="7"/>
  <c r="P60" i="7" s="1"/>
  <c r="N80" i="7" l="1"/>
  <c r="N77" i="7"/>
  <c r="O69" i="7"/>
  <c r="O74" i="7" s="1"/>
  <c r="O77" i="7" s="1"/>
  <c r="O78" i="7" s="1"/>
  <c r="N79" i="7"/>
  <c r="R57" i="7"/>
  <c r="R59" i="7" s="1"/>
  <c r="R66" i="7" s="1"/>
  <c r="R71" i="7"/>
  <c r="R70" i="7"/>
  <c r="T67" i="7"/>
  <c r="T56" i="7"/>
  <c r="T50" i="7" s="1"/>
  <c r="U58" i="7"/>
  <c r="S49" i="7"/>
  <c r="T40" i="7"/>
  <c r="Q73" i="7"/>
  <c r="P61" i="7"/>
  <c r="P68" i="7"/>
  <c r="N78" i="7"/>
  <c r="N81" i="7" s="1"/>
  <c r="O79" i="7" l="1"/>
  <c r="O75" i="7"/>
  <c r="O80" i="7" s="1"/>
  <c r="T49" i="7"/>
  <c r="U40" i="7"/>
  <c r="S57" i="7"/>
  <c r="S59" i="7" s="1"/>
  <c r="S66" i="7" s="1"/>
  <c r="S71" i="7"/>
  <c r="S70" i="7"/>
  <c r="T70" i="7" s="1"/>
  <c r="U67" i="7"/>
  <c r="V58" i="7"/>
  <c r="U56" i="7"/>
  <c r="U50" i="7" s="1"/>
  <c r="Q46" i="7"/>
  <c r="Q60" i="7" s="1"/>
  <c r="Q61" i="7" s="1"/>
  <c r="O81" i="7"/>
  <c r="R43" i="7"/>
  <c r="R45" i="7" s="1"/>
  <c r="R73" i="7" s="1"/>
  <c r="P62" i="7"/>
  <c r="P69" i="7" s="1"/>
  <c r="P74" i="7" s="1"/>
  <c r="Q68" i="7" l="1"/>
  <c r="V67" i="7"/>
  <c r="W58" i="7"/>
  <c r="V56" i="7"/>
  <c r="V50" i="7" s="1"/>
  <c r="V40" i="7"/>
  <c r="U49" i="7"/>
  <c r="T71" i="7"/>
  <c r="T57" i="7"/>
  <c r="T59" i="7" s="1"/>
  <c r="T66" i="7" s="1"/>
  <c r="S43" i="7"/>
  <c r="S45" i="7" s="1"/>
  <c r="S73" i="7" s="1"/>
  <c r="P63" i="7"/>
  <c r="P77" i="7"/>
  <c r="P75" i="7"/>
  <c r="P80" i="7" s="1"/>
  <c r="P79" i="7"/>
  <c r="Y20" i="6" s="1"/>
  <c r="R46" i="7"/>
  <c r="R60" i="7" s="1"/>
  <c r="Q62" i="7"/>
  <c r="Q69" i="7" s="1"/>
  <c r="Q74" i="7" l="1"/>
  <c r="Q75" i="7" s="1"/>
  <c r="Q80" i="7" s="1"/>
  <c r="W67" i="7"/>
  <c r="X58" i="7"/>
  <c r="W56" i="7"/>
  <c r="W50" i="7" s="1"/>
  <c r="U57" i="7"/>
  <c r="U59" i="7" s="1"/>
  <c r="U66" i="7" s="1"/>
  <c r="U71" i="7"/>
  <c r="U70" i="7"/>
  <c r="V49" i="7"/>
  <c r="W40" i="7"/>
  <c r="Q63" i="7"/>
  <c r="S46" i="7"/>
  <c r="S60" i="7" s="1"/>
  <c r="S68" i="7" s="1"/>
  <c r="T43" i="7"/>
  <c r="R68" i="7"/>
  <c r="R61" i="7"/>
  <c r="P78" i="7"/>
  <c r="P81" i="7" s="1"/>
  <c r="Q77" i="7" l="1"/>
  <c r="Q78" i="7" s="1"/>
  <c r="Q79" i="7"/>
  <c r="Q81" i="7"/>
  <c r="W49" i="7"/>
  <c r="X40" i="7"/>
  <c r="V71" i="7"/>
  <c r="V57" i="7"/>
  <c r="V59" i="7" s="1"/>
  <c r="V66" i="7" s="1"/>
  <c r="V70" i="7"/>
  <c r="X67" i="7"/>
  <c r="X56" i="7"/>
  <c r="X50" i="7" s="1"/>
  <c r="Y58" i="7"/>
  <c r="T45" i="7"/>
  <c r="T73" i="7" s="1"/>
  <c r="S61" i="7"/>
  <c r="S62" i="7" s="1"/>
  <c r="S63" i="7" s="1"/>
  <c r="R62" i="7"/>
  <c r="R69" i="7" s="1"/>
  <c r="R74" i="7" s="1"/>
  <c r="Y67" i="7" l="1"/>
  <c r="Y56" i="7"/>
  <c r="Y50" i="7" s="1"/>
  <c r="Z58" i="7"/>
  <c r="X49" i="7"/>
  <c r="Y40" i="7"/>
  <c r="W57" i="7"/>
  <c r="W59" i="7" s="1"/>
  <c r="W66" i="7" s="1"/>
  <c r="W71" i="7"/>
  <c r="W70" i="7"/>
  <c r="R63" i="7"/>
  <c r="T46" i="7"/>
  <c r="T60" i="7" s="1"/>
  <c r="T68" i="7" s="1"/>
  <c r="U43" i="7"/>
  <c r="U45" i="7" s="1"/>
  <c r="U73" i="7" s="1"/>
  <c r="R77" i="7"/>
  <c r="R78" i="7" s="1"/>
  <c r="R81" i="7" s="1"/>
  <c r="R75" i="7"/>
  <c r="R80" i="7" s="1"/>
  <c r="R79" i="7"/>
  <c r="S69" i="7"/>
  <c r="S74" i="7" s="1"/>
  <c r="T61" i="7" l="1"/>
  <c r="T62" i="7" s="1"/>
  <c r="T69" i="7" s="1"/>
  <c r="T74" i="7" s="1"/>
  <c r="X71" i="7"/>
  <c r="X57" i="7"/>
  <c r="X59" i="7" s="1"/>
  <c r="X66" i="7" s="1"/>
  <c r="X70" i="7"/>
  <c r="Z67" i="7"/>
  <c r="AA58" i="7"/>
  <c r="Z56" i="7"/>
  <c r="Z50" i="7" s="1"/>
  <c r="U46" i="7"/>
  <c r="U60" i="7" s="1"/>
  <c r="U68" i="7" s="1"/>
  <c r="Z40" i="7"/>
  <c r="Y49" i="7"/>
  <c r="V43" i="7"/>
  <c r="V45" i="7" s="1"/>
  <c r="V73" i="7" s="1"/>
  <c r="S77" i="7"/>
  <c r="S78" i="7" s="1"/>
  <c r="S81" i="7" s="1"/>
  <c r="S75" i="7"/>
  <c r="S80" i="7" s="1"/>
  <c r="S79" i="7"/>
  <c r="U61" i="7" l="1"/>
  <c r="U62" i="7" s="1"/>
  <c r="U69" i="7" s="1"/>
  <c r="U74" i="7" s="1"/>
  <c r="AA40" i="7"/>
  <c r="AA49" i="7" s="1"/>
  <c r="Z49" i="7"/>
  <c r="Y71" i="7"/>
  <c r="Y57" i="7"/>
  <c r="Y59" i="7" s="1"/>
  <c r="Y66" i="7" s="1"/>
  <c r="Y70" i="7"/>
  <c r="AA67" i="7"/>
  <c r="AA56" i="7"/>
  <c r="AA50" i="7" s="1"/>
  <c r="W43" i="7"/>
  <c r="W45" i="7" s="1"/>
  <c r="W73" i="7" s="1"/>
  <c r="T63" i="7"/>
  <c r="V46" i="7"/>
  <c r="V60" i="7" s="1"/>
  <c r="V61" i="7" s="1"/>
  <c r="T77" i="7"/>
  <c r="T78" i="7" s="1"/>
  <c r="T81" i="7" s="1"/>
  <c r="T79" i="7"/>
  <c r="T75" i="7"/>
  <c r="T80" i="7" s="1"/>
  <c r="Z71" i="7" l="1"/>
  <c r="Z57" i="7"/>
  <c r="Z59" i="7" s="1"/>
  <c r="Z66" i="7" s="1"/>
  <c r="Z70" i="7"/>
  <c r="AA70" i="7" s="1"/>
  <c r="AA57" i="7"/>
  <c r="AA59" i="7" s="1"/>
  <c r="AA66" i="7" s="1"/>
  <c r="AA71" i="7"/>
  <c r="V68" i="7"/>
  <c r="U77" i="7"/>
  <c r="U78" i="7" s="1"/>
  <c r="U81" i="7" s="1"/>
  <c r="U75" i="7"/>
  <c r="U80" i="7" s="1"/>
  <c r="U79" i="7"/>
  <c r="W46" i="7"/>
  <c r="W60" i="7" s="1"/>
  <c r="X43" i="7"/>
  <c r="V62" i="7"/>
  <c r="V69" i="7" s="1"/>
  <c r="V74" i="7" s="1"/>
  <c r="U63" i="7"/>
  <c r="V77" i="7" l="1"/>
  <c r="V78" i="7" s="1"/>
  <c r="V81" i="7" s="1"/>
  <c r="V75" i="7"/>
  <c r="V80" i="7" s="1"/>
  <c r="V79" i="7"/>
  <c r="V63" i="7"/>
  <c r="X45" i="7"/>
  <c r="X73" i="7" s="1"/>
  <c r="W68" i="7"/>
  <c r="W61" i="7"/>
  <c r="Y43" i="7" l="1"/>
  <c r="Y45" i="7" s="1"/>
  <c r="Y73" i="7" s="1"/>
  <c r="X46" i="7"/>
  <c r="X60" i="7" s="1"/>
  <c r="X68" i="7" s="1"/>
  <c r="W62" i="7"/>
  <c r="W69" i="7" s="1"/>
  <c r="W74" i="7" s="1"/>
  <c r="X61" i="7" l="1"/>
  <c r="X62" i="7" s="1"/>
  <c r="X69" i="7" s="1"/>
  <c r="X74" i="7" s="1"/>
  <c r="W63" i="7"/>
  <c r="W77" i="7"/>
  <c r="W78" i="7" s="1"/>
  <c r="W81" i="7" s="1"/>
  <c r="W75" i="7"/>
  <c r="W80" i="7" s="1"/>
  <c r="W79" i="7"/>
  <c r="Y46" i="7"/>
  <c r="Y60" i="7" s="1"/>
  <c r="Z43" i="7"/>
  <c r="X77" i="7" l="1"/>
  <c r="X78" i="7" s="1"/>
  <c r="X81" i="7" s="1"/>
  <c r="X79" i="7"/>
  <c r="X75" i="7"/>
  <c r="X80" i="7" s="1"/>
  <c r="F18" i="7" s="1"/>
  <c r="Z20" i="6" s="1"/>
  <c r="X63" i="7"/>
  <c r="Y68" i="7"/>
  <c r="Y61" i="7"/>
  <c r="Z45" i="7"/>
  <c r="Z73" i="7" s="1"/>
  <c r="Z46" i="7" l="1"/>
  <c r="Z60" i="7" s="1"/>
  <c r="Z68" i="7" s="1"/>
  <c r="AA43" i="7"/>
  <c r="AA45" i="7" s="1"/>
  <c r="AA73" i="7" s="1"/>
  <c r="Y62" i="7"/>
  <c r="Y69" i="7" s="1"/>
  <c r="Y74" i="7" s="1"/>
  <c r="Z61" i="7" l="1"/>
  <c r="Z62" i="7" s="1"/>
  <c r="Z69" i="7" s="1"/>
  <c r="Z74" i="7" s="1"/>
  <c r="Y77" i="7"/>
  <c r="Y78" i="7" s="1"/>
  <c r="Y81" i="7" s="1"/>
  <c r="Y75" i="7"/>
  <c r="Y80" i="7" s="1"/>
  <c r="G18" i="7" s="1"/>
  <c r="Y79" i="7"/>
  <c r="AA46" i="7"/>
  <c r="AA60" i="7" s="1"/>
  <c r="Y63" i="7"/>
  <c r="Z77" i="7" l="1"/>
  <c r="Z78" i="7" s="1"/>
  <c r="Z81" i="7" s="1"/>
  <c r="Z79" i="7"/>
  <c r="Z75" i="7"/>
  <c r="Z80" i="7" s="1"/>
  <c r="Z63" i="7"/>
  <c r="AA68" i="7"/>
  <c r="AA61" i="7"/>
  <c r="AA62" i="7" l="1"/>
  <c r="AA69" i="7" s="1"/>
  <c r="AA74" i="7" s="1"/>
  <c r="AA77" i="7" l="1"/>
  <c r="AA78" i="7" s="1"/>
  <c r="AA81" i="7" s="1"/>
  <c r="F19" i="7" s="1"/>
  <c r="AA20" i="6" s="1"/>
  <c r="AA79" i="7"/>
  <c r="AA75" i="7"/>
  <c r="AA80" i="7" s="1"/>
  <c r="AA63" i="7"/>
  <c r="F20" i="7" l="1"/>
  <c r="F21" i="7" s="1"/>
  <c r="D33" i="15" l="1"/>
  <c r="D65" i="10"/>
  <c r="D64" i="16" l="1"/>
  <c r="D63" i="10"/>
  <c r="C61" i="12"/>
  <c r="G61" i="12" l="1"/>
  <c r="D80" i="10"/>
  <c r="D62" i="16"/>
  <c r="D79" i="16" l="1"/>
  <c r="D34" i="15" l="1"/>
  <c r="H33" i="15"/>
  <c r="M31" i="11"/>
  <c r="F45" i="10" s="1"/>
  <c r="L31" i="11"/>
  <c r="L32" i="11" s="1"/>
  <c r="K31" i="11"/>
  <c r="K32" i="11" s="1"/>
  <c r="F44" i="16" l="1"/>
  <c r="E32" i="12"/>
  <c r="E52" i="12" s="1"/>
  <c r="F43" i="10"/>
  <c r="N31" i="11"/>
  <c r="D45" i="10"/>
  <c r="E45" i="10"/>
  <c r="H34" i="15"/>
  <c r="M32" i="11"/>
  <c r="G45" i="10" l="1"/>
  <c r="N32" i="11"/>
  <c r="F42" i="16"/>
  <c r="L52" i="10"/>
  <c r="L55" i="10" s="1"/>
  <c r="E50" i="12"/>
  <c r="E44" i="12" s="1"/>
  <c r="E53" i="12" s="1"/>
  <c r="E58" i="12" s="1"/>
  <c r="E64" i="12" s="1"/>
  <c r="E65" i="12" s="1"/>
  <c r="E71" i="12" s="1"/>
  <c r="F81" i="10"/>
  <c r="F38" i="10"/>
  <c r="E31" i="12"/>
  <c r="E34" i="12" s="1"/>
  <c r="E35" i="12" s="1"/>
  <c r="D32" i="12"/>
  <c r="D52" i="12" s="1"/>
  <c r="E44" i="16"/>
  <c r="E43" i="10"/>
  <c r="D44" i="16"/>
  <c r="C32" i="12"/>
  <c r="D43" i="10"/>
  <c r="D31" i="12" l="1"/>
  <c r="D34" i="12" s="1"/>
  <c r="D35" i="12" s="1"/>
  <c r="E38" i="10"/>
  <c r="K52" i="10"/>
  <c r="K55" i="10" s="1"/>
  <c r="D50" i="12"/>
  <c r="D44" i="12" s="1"/>
  <c r="D53" i="12" s="1"/>
  <c r="D58" i="12" s="1"/>
  <c r="D64" i="12" s="1"/>
  <c r="D65" i="12" s="1"/>
  <c r="D71" i="12" s="1"/>
  <c r="E42" i="16"/>
  <c r="E81" i="10"/>
  <c r="F37" i="16"/>
  <c r="F46" i="10"/>
  <c r="F80" i="16"/>
  <c r="F82" i="10"/>
  <c r="F81" i="16" s="1"/>
  <c r="C50" i="12"/>
  <c r="D38" i="10"/>
  <c r="D42" i="16"/>
  <c r="C31" i="12"/>
  <c r="J52" i="10"/>
  <c r="J55" i="10" s="1"/>
  <c r="D81" i="10"/>
  <c r="C52" i="12"/>
  <c r="F73" i="12"/>
  <c r="F32" i="12"/>
  <c r="F52" i="12" s="1"/>
  <c r="G44" i="16"/>
  <c r="G43" i="10"/>
  <c r="G32" i="12" l="1"/>
  <c r="D82" i="10"/>
  <c r="D81" i="16" s="1"/>
  <c r="D80" i="16"/>
  <c r="D37" i="16"/>
  <c r="D46" i="10"/>
  <c r="F48" i="10"/>
  <c r="F45" i="16"/>
  <c r="E73" i="12"/>
  <c r="E72" i="12" s="1"/>
  <c r="C44" i="12"/>
  <c r="C34" i="12"/>
  <c r="E82" i="10"/>
  <c r="E81" i="16" s="1"/>
  <c r="E80" i="16"/>
  <c r="E46" i="10"/>
  <c r="E37" i="16"/>
  <c r="G42" i="16"/>
  <c r="F31" i="12"/>
  <c r="F34" i="12" s="1"/>
  <c r="F35" i="12" s="1"/>
  <c r="G81" i="10"/>
  <c r="G38" i="10"/>
  <c r="F50" i="12"/>
  <c r="F44" i="12" s="1"/>
  <c r="F53" i="12" s="1"/>
  <c r="F58" i="12" s="1"/>
  <c r="F64" i="12" s="1"/>
  <c r="F65" i="12" s="1"/>
  <c r="F71" i="12" s="1"/>
  <c r="F72" i="12" s="1"/>
  <c r="M52" i="10"/>
  <c r="M55" i="10" s="1"/>
  <c r="G52" i="12"/>
  <c r="G31" i="12" l="1"/>
  <c r="G37" i="16"/>
  <c r="G46" i="10"/>
  <c r="C35" i="12"/>
  <c r="G35" i="12" s="1"/>
  <c r="G34" i="12"/>
  <c r="D45" i="16"/>
  <c r="D48" i="10"/>
  <c r="E48" i="10"/>
  <c r="E45" i="16"/>
  <c r="G80" i="16"/>
  <c r="G82" i="10"/>
  <c r="G81" i="16" s="1"/>
  <c r="G50" i="12"/>
  <c r="C53" i="12"/>
  <c r="G44" i="12"/>
  <c r="F85" i="10"/>
  <c r="F84" i="16" s="1"/>
  <c r="F47" i="16"/>
  <c r="G53" i="12" l="1"/>
  <c r="C58" i="12"/>
  <c r="E47" i="16"/>
  <c r="E85" i="10"/>
  <c r="E84" i="16" s="1"/>
  <c r="D47" i="16"/>
  <c r="D85" i="10"/>
  <c r="D84" i="16" s="1"/>
  <c r="G48" i="10"/>
  <c r="G45" i="16"/>
  <c r="F18" i="15"/>
  <c r="F15" i="11"/>
  <c r="D15" i="11" l="1"/>
  <c r="D40" i="11" s="1"/>
  <c r="D18" i="15"/>
  <c r="C64" i="12"/>
  <c r="C65" i="12" s="1"/>
  <c r="C71" i="12" s="1"/>
  <c r="G58" i="12"/>
  <c r="F17" i="15"/>
  <c r="F40" i="11"/>
  <c r="F42" i="15" s="1"/>
  <c r="G85" i="10"/>
  <c r="G84" i="16" s="1"/>
  <c r="G47" i="16"/>
  <c r="E15" i="11"/>
  <c r="J37" i="11" s="1"/>
  <c r="E18" i="15"/>
  <c r="G18" i="15" l="1"/>
  <c r="G15" i="11"/>
  <c r="E17" i="15"/>
  <c r="E40" i="11"/>
  <c r="E42" i="15" s="1"/>
  <c r="H16" i="11"/>
  <c r="C72" i="12"/>
  <c r="D73" i="12"/>
  <c r="D72" i="12" s="1"/>
  <c r="D42" i="15"/>
  <c r="D17" i="15"/>
  <c r="H18" i="15" l="1"/>
  <c r="H15" i="11"/>
  <c r="G40" i="11"/>
  <c r="G42" i="15" s="1"/>
  <c r="G17" i="15"/>
  <c r="J38" i="11" l="1"/>
  <c r="H40" i="11"/>
  <c r="H17" i="15"/>
  <c r="H42" i="15"/>
</calcChain>
</file>

<file path=xl/sharedStrings.xml><?xml version="1.0" encoding="utf-8"?>
<sst xmlns="http://schemas.openxmlformats.org/spreadsheetml/2006/main" count="2375" uniqueCount="678">
  <si>
    <t>Объем финансирования
 [отчетный год]</t>
  </si>
  <si>
    <t>Примечание: для сетевых объектов с разделением объектов на ПС, ВЛ и КЛ</t>
  </si>
  <si>
    <t>км</t>
  </si>
  <si>
    <t>Стоимость основных этапов работ по реализации инвестиционной программы</t>
  </si>
  <si>
    <t>Краткое описание инвестиционной программы</t>
  </si>
  <si>
    <t>Доходы от участия в других организациях (дивиденды от ДЗО)</t>
  </si>
  <si>
    <t>Периодичность ремонта объекта, лет</t>
  </si>
  <si>
    <t>Целесообразность реализации проекта</t>
  </si>
  <si>
    <t>Прочие расходы при эксплуатации объекта, руб. без НДС</t>
  </si>
  <si>
    <t>Возникновение прочих расходов, лет после постройки</t>
  </si>
  <si>
    <t>Периодичность расходов, лет</t>
  </si>
  <si>
    <t>Прочие расходы, руб. без НДС в месяц</t>
  </si>
  <si>
    <t>Рабочий капитал в % от выручки</t>
  </si>
  <si>
    <t xml:space="preserve">Срок кредита </t>
  </si>
  <si>
    <t>Ставка по кредиту</t>
  </si>
  <si>
    <t>Ставка по кредиту без учета субсидирования</t>
  </si>
  <si>
    <t>Доля заемных средств</t>
  </si>
  <si>
    <t>Ставка дисконтирования на собственный капитал</t>
  </si>
  <si>
    <t>Доля собственных средств</t>
  </si>
  <si>
    <t>WACC</t>
  </si>
  <si>
    <t>Период</t>
  </si>
  <si>
    <t>Прогноз инфляции</t>
  </si>
  <si>
    <t>Кумулятивная инфляция</t>
  </si>
  <si>
    <t xml:space="preserve">Доход, руб. без НДС </t>
  </si>
  <si>
    <t>Кредит, руб.</t>
  </si>
  <si>
    <t>Основной долг на начало периода</t>
  </si>
  <si>
    <t>Поступление кредита</t>
  </si>
  <si>
    <t>Погашение основного долга</t>
  </si>
  <si>
    <t>Начисление процентов</t>
  </si>
  <si>
    <t>БДР, руб.</t>
  </si>
  <si>
    <t>Доход</t>
  </si>
  <si>
    <t>Операционные расходы</t>
  </si>
  <si>
    <t>Ремонт объекта</t>
  </si>
  <si>
    <t>Налог на имущество (После ввода объекта в эксплуатацию)</t>
  </si>
  <si>
    <t>EBIT</t>
  </si>
  <si>
    <t>Прибыль до налогообложения</t>
  </si>
  <si>
    <t>Чистая прибыль</t>
  </si>
  <si>
    <t>Денежный поток на собственный капитал, руб.</t>
  </si>
  <si>
    <t>НДС</t>
  </si>
  <si>
    <t>Изменения в рабочем капитале</t>
  </si>
  <si>
    <t>Инвестиции</t>
  </si>
  <si>
    <t>Изменения финансовых обязательств</t>
  </si>
  <si>
    <t>Чистый денежный поток</t>
  </si>
  <si>
    <t>Накопленный ЧДП</t>
  </si>
  <si>
    <t>Коэффициент дисконтирования</t>
  </si>
  <si>
    <t>PV</t>
  </si>
  <si>
    <t>NPV (без учета продажи)</t>
  </si>
  <si>
    <t>IRR</t>
  </si>
  <si>
    <t>PP</t>
  </si>
  <si>
    <t>DPP</t>
  </si>
  <si>
    <t>NPV</t>
  </si>
  <si>
    <t>в т.ч. от технологического присоединения (для электросетевых компаний)</t>
  </si>
  <si>
    <t>в т.ч. от технологического присоединения генерации</t>
  </si>
  <si>
    <t>Итого инвестиционный денежный поток</t>
  </si>
  <si>
    <t>Технические характеристики реконструируемых объектов</t>
  </si>
  <si>
    <t>Иные
объекты</t>
  </si>
  <si>
    <t>Нормативный 
срок службы, 
лет</t>
  </si>
  <si>
    <t>тепловая энергия,
Гкал/час</t>
  </si>
  <si>
    <t>тепловая энергия, 
Гкал/час</t>
  </si>
  <si>
    <t xml:space="preserve">Всего поступления 
( I р.+ 1п. IV р. + 2 п. IX р. + 1 п. X р. +  XI р. + XIII р. + 2п.XIV р. + XV р.)                             </t>
  </si>
  <si>
    <t>Примечание: для сетевых объектов с разделением объектов на ПС, ВЛ и КЛ.</t>
  </si>
  <si>
    <t>Норматив- ный срок службы, лет</t>
  </si>
  <si>
    <t>Проценты</t>
  </si>
  <si>
    <t>Продукт 1</t>
  </si>
  <si>
    <t>Продукт 2</t>
  </si>
  <si>
    <t>Продукт 3</t>
  </si>
  <si>
    <t>Обслуживание</t>
  </si>
  <si>
    <t>Прочее</t>
  </si>
  <si>
    <t>Себестоимость</t>
  </si>
  <si>
    <t>Прямая себестоимость</t>
  </si>
  <si>
    <t>Накладные расходы</t>
  </si>
  <si>
    <t>Операционная прибыль</t>
  </si>
  <si>
    <t>Внереализационные расходы</t>
  </si>
  <si>
    <t>Чистая прибыль/убыток</t>
  </si>
  <si>
    <t>Чистая прибыль с учетом субсидий по процентам</t>
  </si>
  <si>
    <t>Операционный денежный поток</t>
  </si>
  <si>
    <t>Поступления</t>
  </si>
  <si>
    <t>Выбытия</t>
  </si>
  <si>
    <t>*  план, в соответствии с утвержденной инвестиционной программой,  указать кем и когда утверждена инвестиционная программа</t>
  </si>
  <si>
    <t>I.</t>
  </si>
  <si>
    <t>1.1.2.</t>
  </si>
  <si>
    <t>Ввод мощностей</t>
  </si>
  <si>
    <t>Итого</t>
  </si>
  <si>
    <t>Средства внешних инвесторов</t>
  </si>
  <si>
    <t>1.1.3.</t>
  </si>
  <si>
    <t>1.1.3.1.</t>
  </si>
  <si>
    <t>1.1.3.2.</t>
  </si>
  <si>
    <t>в т.ч. инвестиционная составляющая в тарифе</t>
  </si>
  <si>
    <t xml:space="preserve">в т.ч. прибыль со свободного сектора </t>
  </si>
  <si>
    <t>Новое строительство</t>
  </si>
  <si>
    <t>2.5.</t>
  </si>
  <si>
    <t>Наименование проекта</t>
  </si>
  <si>
    <t>МВт, Гкал/час, км, МВА</t>
  </si>
  <si>
    <t>млн.рублей</t>
  </si>
  <si>
    <t>Внереализационные доходы и расходы (сальдо)</t>
  </si>
  <si>
    <t>Внереализационные доходы, всего</t>
  </si>
  <si>
    <t>Внереализационные расходы, всего</t>
  </si>
  <si>
    <t>V.</t>
  </si>
  <si>
    <t>Прибыль до налоообложения (III + IV)</t>
  </si>
  <si>
    <t>VI.</t>
  </si>
  <si>
    <t>Налог на прибыль</t>
  </si>
  <si>
    <t>VII.</t>
  </si>
  <si>
    <t xml:space="preserve">Чистая прибыль  </t>
  </si>
  <si>
    <t>VIII.</t>
  </si>
  <si>
    <t>млн. рублей</t>
  </si>
  <si>
    <t>X.</t>
  </si>
  <si>
    <t>Привлечение заемных средств</t>
  </si>
  <si>
    <t>в том числе на:</t>
  </si>
  <si>
    <t>XI.</t>
  </si>
  <si>
    <t xml:space="preserve">Погашение заемных средств  </t>
  </si>
  <si>
    <t>XII.</t>
  </si>
  <si>
    <t>XIII.</t>
  </si>
  <si>
    <t>XIV.</t>
  </si>
  <si>
    <t>Справочно:</t>
  </si>
  <si>
    <t>EBITDA</t>
  </si>
  <si>
    <t>в т.ч. в части ДПМ*</t>
  </si>
  <si>
    <t>Долг на конец периода</t>
  </si>
  <si>
    <t>*заполняется ОГК/ТГК</t>
  </si>
  <si>
    <t>2.6.</t>
  </si>
  <si>
    <t>Стадия реализации проекта</t>
  </si>
  <si>
    <t>С/П*</t>
  </si>
  <si>
    <t>* С - строительство, П- проектирование</t>
  </si>
  <si>
    <t>Проектная мощность/
протяженность сетей</t>
  </si>
  <si>
    <t>Показатели</t>
  </si>
  <si>
    <t xml:space="preserve">   Всего</t>
  </si>
  <si>
    <t>Выручка от реализации товаров (работ, услуг),   всего</t>
  </si>
  <si>
    <t>Материальные расходы, всего</t>
  </si>
  <si>
    <t>Расходы на оплату труда с учетом ЕСН</t>
  </si>
  <si>
    <t>3.</t>
  </si>
  <si>
    <t>Амортизационные отчисления</t>
  </si>
  <si>
    <t>4.</t>
  </si>
  <si>
    <t>Прочие расходы, всего</t>
  </si>
  <si>
    <t>в том числе</t>
  </si>
  <si>
    <t>Ремонт основных средств</t>
  </si>
  <si>
    <t>в том числе:</t>
  </si>
  <si>
    <t>4.4.</t>
  </si>
  <si>
    <t>4.5.</t>
  </si>
  <si>
    <t>4.6.</t>
  </si>
  <si>
    <t>5.</t>
  </si>
  <si>
    <t>Налоги  и сборы, всего</t>
  </si>
  <si>
    <t>5.3.</t>
  </si>
  <si>
    <t>IV.</t>
  </si>
  <si>
    <t>Генерирующие объекты</t>
  </si>
  <si>
    <t>мощность, МВт</t>
  </si>
  <si>
    <t>Иные 
объекты</t>
  </si>
  <si>
    <t>План 2016 года</t>
  </si>
  <si>
    <t>План 2017 года</t>
  </si>
  <si>
    <t>Расходы по текущей деятельности, всего</t>
  </si>
  <si>
    <t>Платежи по аренде и лизингу</t>
  </si>
  <si>
    <t>Инфраструктурные платежи рынка</t>
  </si>
  <si>
    <t>Валовая прибыль (I р.-II р.)</t>
  </si>
  <si>
    <t>XV.</t>
  </si>
  <si>
    <t>XVI.</t>
  </si>
  <si>
    <t>XVII.</t>
  </si>
  <si>
    <t>Вывод мощностей</t>
  </si>
  <si>
    <t>уточнения стоимости по результатам утвержденной ПСД</t>
  </si>
  <si>
    <t>в том числе за счет</t>
  </si>
  <si>
    <t>уточнения стоимости по результатм закупочных процедур</t>
  </si>
  <si>
    <t>%</t>
  </si>
  <si>
    <t>Оплата процентов за привлеченные кредитные ресурсы</t>
  </si>
  <si>
    <t>Энергосбережение и повышение энергетической эффективности</t>
  </si>
  <si>
    <t xml:space="preserve">Создание систем телемеханики  и связи </t>
  </si>
  <si>
    <t>Установка устройств регулирования напряжения и компенсации реактивной мощности</t>
  </si>
  <si>
    <t>Техническое перевооружение и реконструкция</t>
  </si>
  <si>
    <t>IX.</t>
  </si>
  <si>
    <t>Капитальные вложения</t>
  </si>
  <si>
    <r>
      <t xml:space="preserve">Возмещаемый НДС </t>
    </r>
    <r>
      <rPr>
        <sz val="12"/>
        <rFont val="Times New Roman"/>
        <family val="1"/>
        <charset val="204"/>
      </rPr>
      <t>(поступления)</t>
    </r>
  </si>
  <si>
    <t>в том числе по:</t>
  </si>
  <si>
    <t>в том числе ПТП</t>
  </si>
  <si>
    <t>6.1.</t>
  </si>
  <si>
    <t>6.2.</t>
  </si>
  <si>
    <t>(подпись)</t>
  </si>
  <si>
    <t>«___»________ 20__ года</t>
  </si>
  <si>
    <t>М.П.</t>
  </si>
  <si>
    <t>Прочее новое строительство</t>
  </si>
  <si>
    <t>Объем финансирования****</t>
  </si>
  <si>
    <t>**** - в прогнозных ценах соответствующего года</t>
  </si>
  <si>
    <t>Источники финансирования инвестиционных программ 
(в прогнозных ценах соответствующих лет), млн. рублей</t>
  </si>
  <si>
    <t>от «___»________2010 г. №____</t>
  </si>
  <si>
    <t>NPV, 
млн.
рублей</t>
  </si>
  <si>
    <t>для ОГК/ТГК, в том числе</t>
  </si>
  <si>
    <t>ДПМ</t>
  </si>
  <si>
    <t>вне ДПМ</t>
  </si>
  <si>
    <t>решаемые 
задачи *</t>
  </si>
  <si>
    <t>Прочая прибыль</t>
  </si>
  <si>
    <t>1.2.1.</t>
  </si>
  <si>
    <t>1.2.2.</t>
  </si>
  <si>
    <t>1.2.3.</t>
  </si>
  <si>
    <t>Амортизация, учтенная в тарифе</t>
  </si>
  <si>
    <t>Прочая амортизация</t>
  </si>
  <si>
    <t>Недоиспользованная амортизация прошлых лет</t>
  </si>
  <si>
    <t>2.7.</t>
  </si>
  <si>
    <t>+</t>
  </si>
  <si>
    <t xml:space="preserve">  -</t>
  </si>
  <si>
    <t xml:space="preserve">  _</t>
  </si>
  <si>
    <t xml:space="preserve">Строительство основных сооружений (главного корпуса, гидротехнических сооружений, объектов топливного хозяйства, технического водоснабжения и др.) </t>
  </si>
  <si>
    <t>Сдача основных сооружений под монтаж оборудования</t>
  </si>
  <si>
    <t>Монтаж и ввод в работу грузоподъёмных механизмов для монтажа основного оборудования</t>
  </si>
  <si>
    <t>Монтаж  основного оборудования и трубопроводов</t>
  </si>
  <si>
    <t>Монтаж электротехнического оборудования и КиП</t>
  </si>
  <si>
    <t>Реализация схемы выдачи мощности (в объеме обязательств ГК)</t>
  </si>
  <si>
    <t>Заявка в сетевую компанию на технологическое присоединение</t>
  </si>
  <si>
    <t>Заключение договора с сетевой компанией на ТП. Получение и соглаование ТУ и ТП</t>
  </si>
  <si>
    <t>Сетевое строительство (реконструкция) и пусконаладочные работы</t>
  </si>
  <si>
    <t>Подготовка площадки строительства для подстанций, трассы – для ЛЭП</t>
  </si>
  <si>
    <t>Поставка основного оборудования</t>
  </si>
  <si>
    <t>Монтаж основного оборудования</t>
  </si>
  <si>
    <t>3.4.</t>
  </si>
  <si>
    <t>Пусконаладочные работы</t>
  </si>
  <si>
    <t>3.5.</t>
  </si>
  <si>
    <t>Завершение строительства</t>
  </si>
  <si>
    <t xml:space="preserve">Комплексное опробование оборудования </t>
  </si>
  <si>
    <t>Генеральный директор</t>
  </si>
  <si>
    <t>Разработка и выдача ТУ на ТП</t>
  </si>
  <si>
    <t>**** - накопленным итогом за год</t>
  </si>
  <si>
    <t>Рекомендуемая форма представления предложений о внесении изменений в перечень инвестиционных проектов, входящих в состав инвестиционной программы, млн. рублей с НДС</t>
  </si>
  <si>
    <t>Приложение  № 4.2</t>
  </si>
  <si>
    <t>Приложение  № 2.2</t>
  </si>
  <si>
    <t>Итого по разделу 1.2.</t>
  </si>
  <si>
    <t xml:space="preserve">Создание систем телемеханики и связи </t>
  </si>
  <si>
    <t>Итого по разделу 1.3.</t>
  </si>
  <si>
    <t>Проведение инженерных изысканий на выбранной площадке строительства</t>
  </si>
  <si>
    <t>работа</t>
  </si>
  <si>
    <t>Проектный этап</t>
  </si>
  <si>
    <t>Заключение договора на разработку ТЭО</t>
  </si>
  <si>
    <t>событие</t>
  </si>
  <si>
    <t>Заключение договора на разработку рабочего проекта</t>
  </si>
  <si>
    <t>Разработка и утверждение ТЭО</t>
  </si>
  <si>
    <t>Заключение договора с генеральным подрядчиком (EPC, EPCM) или договоров с основными подрядчиками</t>
  </si>
  <si>
    <t>3.2.</t>
  </si>
  <si>
    <t>Получение правоустанавливающих документов на земельный участк под строительство</t>
  </si>
  <si>
    <t>3.3.</t>
  </si>
  <si>
    <t xml:space="preserve">Заключение договоров на поставщику основного оборудования </t>
  </si>
  <si>
    <t>3.3.1.</t>
  </si>
  <si>
    <t>График поставки основного оборудования на объект</t>
  </si>
  <si>
    <t>Строительные работы</t>
  </si>
  <si>
    <t>ВСЕГО,</t>
  </si>
  <si>
    <t>Приложение  № 1.2</t>
  </si>
  <si>
    <t>Приложение  № 1.1</t>
  </si>
  <si>
    <t>Приложение  № 1.4</t>
  </si>
  <si>
    <t>Приложение  № 3.1</t>
  </si>
  <si>
    <t>Приложение  № 3.2</t>
  </si>
  <si>
    <t>Осталось профинансировать по результатам отчетного периода **</t>
  </si>
  <si>
    <t>Объем корректировки ****</t>
  </si>
  <si>
    <t>план ***</t>
  </si>
  <si>
    <t>Разработка и согласование предпроектной внестадийной работы "Схема выдачи мощности"</t>
  </si>
  <si>
    <t>5.4.</t>
  </si>
  <si>
    <t>Заключение договора на реалиацию схемы выдачи мощности с согласованием графика строительства</t>
  </si>
  <si>
    <t>5.5.</t>
  </si>
  <si>
    <t>в соответствии 
с проектно-
сметной 
документацией
***</t>
  </si>
  <si>
    <t>№ п/п</t>
  </si>
  <si>
    <t>№</t>
  </si>
  <si>
    <t>1.</t>
  </si>
  <si>
    <t>1.1.</t>
  </si>
  <si>
    <t>1.2.</t>
  </si>
  <si>
    <t>2.</t>
  </si>
  <si>
    <t>2.1.</t>
  </si>
  <si>
    <t>2.2.</t>
  </si>
  <si>
    <t>2.3.</t>
  </si>
  <si>
    <t>2.4.</t>
  </si>
  <si>
    <t>4.1.</t>
  </si>
  <si>
    <t>4.2.</t>
  </si>
  <si>
    <t>4.3.</t>
  </si>
  <si>
    <t>5.1.</t>
  </si>
  <si>
    <t>5.2.</t>
  </si>
  <si>
    <t>1.3.</t>
  </si>
  <si>
    <t>№№</t>
  </si>
  <si>
    <t>Источник финансирования</t>
  </si>
  <si>
    <t>всего</t>
  </si>
  <si>
    <t>1 кв</t>
  </si>
  <si>
    <t>2 кв</t>
  </si>
  <si>
    <t>3 кв</t>
  </si>
  <si>
    <t>4 кв</t>
  </si>
  <si>
    <t>план</t>
  </si>
  <si>
    <t>ВСЕГО источников финансирования</t>
  </si>
  <si>
    <t>Собственные средства</t>
  </si>
  <si>
    <t>Прибыль, направляемая на инвестиции:</t>
  </si>
  <si>
    <t>1.1.1.</t>
  </si>
  <si>
    <t>Амортизация</t>
  </si>
  <si>
    <t>Возврат НДС</t>
  </si>
  <si>
    <t>1.4.</t>
  </si>
  <si>
    <t>Прочие собственные средства</t>
  </si>
  <si>
    <t xml:space="preserve">1.4.1. </t>
  </si>
  <si>
    <t>Бюджетное финансирование</t>
  </si>
  <si>
    <t>Разработка рабочего проекта</t>
  </si>
  <si>
    <t>Получение положительного заключения государственной экспертизы на ТЭО</t>
  </si>
  <si>
    <t>Получение разрешения на строительство</t>
  </si>
  <si>
    <t>Организационный этап</t>
  </si>
  <si>
    <t>3.1.</t>
  </si>
  <si>
    <t>ИТОГО</t>
  </si>
  <si>
    <t xml:space="preserve"> </t>
  </si>
  <si>
    <t>-</t>
  </si>
  <si>
    <t>г. Сургут</t>
  </si>
  <si>
    <t>Итого по разделу 1.1.</t>
  </si>
  <si>
    <t>Итого по разделу 2.1.</t>
  </si>
  <si>
    <t>Готовность оборудования (ОРУ, ЗРУ) для технологического присоединения к электрическим сетям</t>
  </si>
  <si>
    <t>Утверждаю:</t>
  </si>
  <si>
    <t>Всего:</t>
  </si>
  <si>
    <t>Приложение  № 2.3</t>
  </si>
  <si>
    <t>Исходные данные</t>
  </si>
  <si>
    <t>Значение</t>
  </si>
  <si>
    <t>Общая стоимость объекта,  руб. без НДС</t>
  </si>
  <si>
    <t>Прочие расходы, руб. без НДС на объект</t>
  </si>
  <si>
    <t>Срок амортизации, лет</t>
  </si>
  <si>
    <t>Собственный капитал</t>
  </si>
  <si>
    <t>Кол-во объектов, ед.</t>
  </si>
  <si>
    <t>Простой период окупаемости, лет</t>
  </si>
  <si>
    <t>Субсидирование процентной ставки</t>
  </si>
  <si>
    <t>Нарастающим итогом</t>
  </si>
  <si>
    <t>остаток денежных средств на начало периода</t>
  </si>
  <si>
    <t>Кредиты на начало</t>
  </si>
  <si>
    <t>Кредиты на конец</t>
  </si>
  <si>
    <t>Приложение  № 4.3</t>
  </si>
  <si>
    <t>план***</t>
  </si>
  <si>
    <t>** - в ценах отчетного года</t>
  </si>
  <si>
    <t>* - представляется ежегодно до 1 октября текущего года</t>
  </si>
  <si>
    <t>Остаток стоимости на начало года **</t>
  </si>
  <si>
    <t>скорректированный объем****</t>
  </si>
  <si>
    <t>Финансовый денежный поток</t>
  </si>
  <si>
    <t>Эмиссия акций</t>
  </si>
  <si>
    <t>Привлечение кредитов</t>
  </si>
  <si>
    <t>Погашение кредитов и займов</t>
  </si>
  <si>
    <t>Итого финансовый денежный поток</t>
  </si>
  <si>
    <t>Итого денежный поток</t>
  </si>
  <si>
    <t>Меры господдержки</t>
  </si>
  <si>
    <t>Реструктуризация дефицитных кредитов</t>
  </si>
  <si>
    <t xml:space="preserve">Увеличение капитализации </t>
  </si>
  <si>
    <t>Субсидирование процентной ставки (рестр)</t>
  </si>
  <si>
    <t>Использование лизинга</t>
  </si>
  <si>
    <t>Прогноз тарифов</t>
  </si>
  <si>
    <t>Остаток собственных средств на начало года</t>
  </si>
  <si>
    <t>1.1.4.</t>
  </si>
  <si>
    <t>Субъект РФ, 
на территории 
которого 
реализауется 
инвестиционный 
проект</t>
  </si>
  <si>
    <t>Обоснование необходимости реализации проекта</t>
  </si>
  <si>
    <t xml:space="preserve">доходность </t>
  </si>
  <si>
    <t>№ 
п/п</t>
  </si>
  <si>
    <t>срок
окупаемости</t>
  </si>
  <si>
    <t>простой</t>
  </si>
  <si>
    <t>дискон
тированный</t>
  </si>
  <si>
    <t>в соответствии 
с итогами 
конкурсов и заключенными договорами</t>
  </si>
  <si>
    <t>выработка, млн.кВт/ч</t>
  </si>
  <si>
    <t>IRR,
%</t>
  </si>
  <si>
    <t>Наименование направления/
проекта 
инвестиционной 
программы</t>
  </si>
  <si>
    <t>Год начала
строительства</t>
  </si>
  <si>
    <t>Год ввода в 
эксплуатацию</t>
  </si>
  <si>
    <t>Наличие исходно-разрешительной документации</t>
  </si>
  <si>
    <t>Место
расположения 
объекта</t>
  </si>
  <si>
    <t>Используемое топливо</t>
  </si>
  <si>
    <t>Утвержденная  
проектно-сметная 
документация
(+;-)</t>
  </si>
  <si>
    <t>Подготовка площадки строительства</t>
  </si>
  <si>
    <t>Ввод объекта в эксплуатацию (получение разрешения на ввод объекта в эксплуатацию и подписание акта приемочной комиссии о приемке в эксплуатацию законченного строительством объекта).</t>
  </si>
  <si>
    <t>II. Контрольные этапы реализации инвестиционного проекта для сетевых компаний</t>
  </si>
  <si>
    <t>Предпроектный и проектный этап</t>
  </si>
  <si>
    <t>Получение заявки на ТП</t>
  </si>
  <si>
    <t>Займы организаций</t>
  </si>
  <si>
    <t>Кредиты</t>
  </si>
  <si>
    <t>Объем ввода мощностей</t>
  </si>
  <si>
    <t>Причины 
корректировки</t>
  </si>
  <si>
    <t>скорректированный объем</t>
  </si>
  <si>
    <t>скорр
ектирова
нный объем</t>
  </si>
  <si>
    <t>Перечень инвестиционных проектов на период реализации инвестиционной программы и план их финансирования</t>
  </si>
  <si>
    <t>Наименование объекта*</t>
  </si>
  <si>
    <t>Плановый объем финансирования, млн. руб.**</t>
  </si>
  <si>
    <t>Технические характеристики созданных объектов</t>
  </si>
  <si>
    <t xml:space="preserve">Подстанции </t>
  </si>
  <si>
    <t>Линии электропередачи</t>
  </si>
  <si>
    <t>год ввода в эксплуатацию</t>
  </si>
  <si>
    <t>Нормативный срок службы, лет</t>
  </si>
  <si>
    <t>Количество и марка силовых трансформаторов, шт</t>
  </si>
  <si>
    <t>Мощность, МВА</t>
  </si>
  <si>
    <t>год ввода в эксплуа-тацию</t>
  </si>
  <si>
    <t>Тип опор</t>
  </si>
  <si>
    <t>Марка кабеля</t>
  </si>
  <si>
    <t>протяженность, км</t>
  </si>
  <si>
    <t>Оформление (подписание) актов об осуществлении технологического присоединения к электрическим сетям</t>
  </si>
  <si>
    <t>Реализация сетевого строительства ГК (если таковое требуется для реализации СВМ)</t>
  </si>
  <si>
    <t>Испытания и ввод в эксплуатацию</t>
  </si>
  <si>
    <t xml:space="preserve">Индивидуальные испытания оборудования и функциональные испытания отдельных систем. </t>
  </si>
  <si>
    <t>Комплексное опробование оборудования</t>
  </si>
  <si>
    <t>6.3.</t>
  </si>
  <si>
    <t>6.4.</t>
  </si>
  <si>
    <t xml:space="preserve">Укрупненный сетевой график выполнения инвестиционного проекта  </t>
  </si>
  <si>
    <t>Процент исполнения  работ за весь период (%)</t>
  </si>
  <si>
    <t>Основные причины невыполнения</t>
  </si>
  <si>
    <t>начало (дата)</t>
  </si>
  <si>
    <t>окончание (дата)</t>
  </si>
  <si>
    <t>I. Контрольные  этапы реализации инвестиционного проекта для генерирующих компаний</t>
  </si>
  <si>
    <t xml:space="preserve">№ п/п
п/п
</t>
  </si>
  <si>
    <t>Наименование</t>
  </si>
  <si>
    <t>Тип</t>
  </si>
  <si>
    <t>С/П</t>
  </si>
  <si>
    <t>*** - для сетевых организаций, переходящих на метод тарифного регулирования RAB, горизонт планирования может быть больше</t>
  </si>
  <si>
    <t>Получение правоустанавливающих документов для выделения земельного участка под строительство</t>
  </si>
  <si>
    <t>Получение разрешительной документации для реализации СВМ</t>
  </si>
  <si>
    <t>Показатели 
экономической эффективноскти реализации инвестиционного 
проекта ****</t>
  </si>
  <si>
    <t xml:space="preserve">Выбор площадки строительства </t>
  </si>
  <si>
    <t xml:space="preserve">событие </t>
  </si>
  <si>
    <t>в соответствии 
с проектно-
сметной 
документацией ***</t>
  </si>
  <si>
    <t>Всего расходы 
(II р. - 3п. II р. + 2п. IV р. + 1 п. IX р. + 2 п. X р. + VI р. + VIII р. +  XII р. + 1 п. XIV р.+ XVI р.)</t>
  </si>
  <si>
    <t xml:space="preserve">Наименование контрольных этапов реализации инвестпроекта с указанием событий/работ критического пути сетевого графика * </t>
  </si>
  <si>
    <t>№114 от 24 марта 2010 г.</t>
  </si>
  <si>
    <t>мощность, 
МВА</t>
  </si>
  <si>
    <t>длина, 
км</t>
  </si>
  <si>
    <t>год 
начала 
сроитель ства</t>
  </si>
  <si>
    <t>год 
окончания 
строитель ства</t>
  </si>
  <si>
    <t>Полная 
стоимость 
строитель ства **</t>
  </si>
  <si>
    <t>Выручка от основной деятельности 
(расшифроваь по видам регулируемой деятельности)</t>
  </si>
  <si>
    <t>Стоимость объекта,
млн.рублей</t>
  </si>
  <si>
    <t>Разработка рабочей документацией сетевого строительства ГК (если таковое требуется для реализации СВМ)</t>
  </si>
  <si>
    <t>5.6.</t>
  </si>
  <si>
    <t>*** - план, согласно утвержденной инвестиционной программе</t>
  </si>
  <si>
    <t>C/П</t>
  </si>
  <si>
    <t>Выручка</t>
  </si>
  <si>
    <t>МВА</t>
  </si>
  <si>
    <t>Сокращение дебиторской задолженности</t>
  </si>
  <si>
    <t xml:space="preserve">Сальдо  (+увеличение; -сокращение) </t>
  </si>
  <si>
    <t>Увеличение кредиторской задолженности</t>
  </si>
  <si>
    <t>Сокращение кредиторской задолженности</t>
  </si>
  <si>
    <t>Проценты от размещения средств</t>
  </si>
  <si>
    <t>Проценты по обслуживанию кредитов</t>
  </si>
  <si>
    <t>Фонд накопления</t>
  </si>
  <si>
    <t>Резервный фонд</t>
  </si>
  <si>
    <t>Выплата дивидендов</t>
  </si>
  <si>
    <t>Прочие расходы из прибыли</t>
  </si>
  <si>
    <t>Финансирование инвестиционной программы</t>
  </si>
  <si>
    <t>Прочие цели (расшифровка)</t>
  </si>
  <si>
    <t>Инвестиционной программе</t>
  </si>
  <si>
    <t>Изменение дебиторской задолженности</t>
  </si>
  <si>
    <t>Выручка от прочей деятельности (расшифровать)</t>
  </si>
  <si>
    <t>Купля/продажа активов</t>
  </si>
  <si>
    <t>Покупка активов (акций, долей и т.п.)</t>
  </si>
  <si>
    <t>режимно-балансовая 
необходимость</t>
  </si>
  <si>
    <t>основание включения 
инвестиционного проекта 
в инвестиционную программу 
(решение Правительства РФ, 
федеральные, региональные 
и муниципальные 
программы и др.)</t>
  </si>
  <si>
    <t>к приказу Минэнерго России</t>
  </si>
  <si>
    <t>Утверждаю</t>
  </si>
  <si>
    <t>руководитель организации</t>
  </si>
  <si>
    <t>II.</t>
  </si>
  <si>
    <t>III.</t>
  </si>
  <si>
    <t>Наименование объекта</t>
  </si>
  <si>
    <t xml:space="preserve">ВСЕГО, </t>
  </si>
  <si>
    <t>Объект 1</t>
  </si>
  <si>
    <t>…</t>
  </si>
  <si>
    <t>Объект 2</t>
  </si>
  <si>
    <t>** - для сетевых компаний, переодящих на метод тарифного регулирования RAB, горизонт планирования может быть больше</t>
  </si>
  <si>
    <t>Финансовый план на период реализации инвестиционной программы
(заполняется по финансированию)</t>
  </si>
  <si>
    <t>Продажа активов (акций, долей и т.п.)</t>
  </si>
  <si>
    <t>Создание систем противоаварийной и режимной автоматики</t>
  </si>
  <si>
    <t>Выполнение (план)</t>
  </si>
  <si>
    <t>Средства, полученные от допэмиссии акций</t>
  </si>
  <si>
    <t>Технические характеристики</t>
  </si>
  <si>
    <t>Сроки 
реализации 
проекта</t>
  </si>
  <si>
    <t>Изменение кредиторской задолженности</t>
  </si>
  <si>
    <t>Направления использования чистой прибыли</t>
  </si>
  <si>
    <t>Сальдо  (+профицит; - дефицит) 
(XVI р. - XVII р.)</t>
  </si>
  <si>
    <t>Топливо</t>
  </si>
  <si>
    <t>Сырье, материалы, запасные части, инструменты</t>
  </si>
  <si>
    <t>Покупная электроэнергия</t>
  </si>
  <si>
    <t>Заключение договора на разработку проетной документации</t>
  </si>
  <si>
    <t>Получение положительного заключения государственной экспертизы на проектную документацию</t>
  </si>
  <si>
    <t>1.5.</t>
  </si>
  <si>
    <t>Утверждение проектной документации</t>
  </si>
  <si>
    <t>1.6.</t>
  </si>
  <si>
    <t>Разработка рабочей документации</t>
  </si>
  <si>
    <t>Заключение договора  подряда (допсоглашения к договору)</t>
  </si>
  <si>
    <t xml:space="preserve">Предпроектный этап </t>
  </si>
  <si>
    <t>в т.ч. от технологического присоединения потребителей</t>
  </si>
  <si>
    <t>в т.ч. средства допэмиссии</t>
  </si>
  <si>
    <t>Привлеченные средства, в т.ч.:</t>
  </si>
  <si>
    <t>Облигационные займы</t>
  </si>
  <si>
    <t>Затраты на ремонт объекта, руб. без НДС</t>
  </si>
  <si>
    <t>Дисконтированный период окупаемости, лет</t>
  </si>
  <si>
    <t>Первый  ремонт объекта, лет после постройки</t>
  </si>
  <si>
    <t>Платежи по прямой себестоимости</t>
  </si>
  <si>
    <t>Заводские расходы</t>
  </si>
  <si>
    <t>Процентные платежи</t>
  </si>
  <si>
    <t>Итого операционный денежный поток</t>
  </si>
  <si>
    <t>Инвестиционный денежный поток</t>
  </si>
  <si>
    <t xml:space="preserve">Получение разрешения на ввод объекта в эксплуатацию. </t>
  </si>
  <si>
    <t xml:space="preserve"> Ввод в эксплуатацию объекта сетевого строительства</t>
  </si>
  <si>
    <t>Увеличение дебиторской задолженности</t>
  </si>
  <si>
    <t>Прочие привлеченные средства</t>
  </si>
  <si>
    <t>Остаточная стоимость строительства **</t>
  </si>
  <si>
    <t>Итого по разделу 1.1.1.</t>
  </si>
  <si>
    <t>2.1.1.</t>
  </si>
  <si>
    <t>1.1.1.1</t>
  </si>
  <si>
    <t>1.3.1.</t>
  </si>
  <si>
    <t>Тюменская область, Ханты-Мансийский Автономный округ - Югра</t>
  </si>
  <si>
    <t>10</t>
  </si>
  <si>
    <t>11</t>
  </si>
  <si>
    <t>12</t>
  </si>
  <si>
    <t>13</t>
  </si>
  <si>
    <t>14</t>
  </si>
  <si>
    <t>15</t>
  </si>
  <si>
    <t>16</t>
  </si>
  <si>
    <t>** - согласно проектной документации в текущих ценах (с НДС)</t>
  </si>
  <si>
    <t>Приложение  № 1</t>
  </si>
  <si>
    <t>от 5 апреля 2013г. №185</t>
  </si>
  <si>
    <t>Приложение №2</t>
  </si>
  <si>
    <t>План ввода основных средств</t>
  </si>
  <si>
    <t>Ввод основных средств сетевых организаций</t>
  </si>
  <si>
    <t>млн.руб.</t>
  </si>
  <si>
    <t>Оформленный 
в соответствии 
с законо
дательством 
землеотвод
 (+;-)</t>
  </si>
  <si>
    <t>Заключение 
Главгос
экспертизы 
России
 (+;-)</t>
  </si>
  <si>
    <t>Разрешение 
на строи
тельство 
(+;-)</t>
  </si>
  <si>
    <t xml:space="preserve">
Объемы и источники 
финансирования инвестиционной программы 
(в прогнозных ценах соответствующих лет), млн. рублей</t>
  </si>
  <si>
    <t>Плановые показатели энергетической эффективности проекта, (т.у.т.)</t>
  </si>
  <si>
    <t>Первоначальная стоимость вводимых основных средств 
(без НДС), млн.руб.
&lt;*&gt;</t>
  </si>
  <si>
    <t>С разделением объектов на ПС, ВЛ и КЛ с указанием уровня напряжения.</t>
  </si>
  <si>
    <t>*</t>
  </si>
  <si>
    <t>Согласно проектно-сметной документации с учетом перевода в прогнозные цены планируемого периода (с НДС).</t>
  </si>
  <si>
    <t>**</t>
  </si>
  <si>
    <t>Заполняется в отношении инвестиционных программ сетевых организаций</t>
  </si>
  <si>
    <t>При осуществлении технического перевооружения и реконструкции действующих объектов основных средств указывается увеличение первоначальной стоимости объектов основных средств (без НДС) в результате технического перевооружения и реконструкции.</t>
  </si>
  <si>
    <t>Иные натуральные количественные показатели объектов основных средств</t>
  </si>
  <si>
    <t>&lt;*&gt;</t>
  </si>
  <si>
    <t>&lt;**&gt;</t>
  </si>
  <si>
    <t>&lt;***&gt;</t>
  </si>
  <si>
    <t>Приложение  № 2.1</t>
  </si>
  <si>
    <t>I. Общая характеристика инвестиционной программы</t>
  </si>
  <si>
    <t>Основные цели и направления инвестиционной программы :</t>
  </si>
  <si>
    <t>Инвестиционные проекты предусматривают энергосбережение и повышение энергетической эффективности, создание систем телемеханики и связи, установку устройств</t>
  </si>
  <si>
    <t>II. Характеристика инвестиционных проектов</t>
  </si>
  <si>
    <t xml:space="preserve"> - Энергосбережение и повышение энергоэффективности;</t>
  </si>
  <si>
    <t xml:space="preserve"> - Создание надежного обеспечения  и резервирования электрических сетей  под загрузку жилого фонда  и развития существующей схемы электроснабжения города, согласно </t>
  </si>
  <si>
    <t xml:space="preserve"> - Замена силового электрооборудования. </t>
  </si>
  <si>
    <t>III. Решения региональных органов исполнительной власти Российской Федерации о согласовании инвестиционных программ:</t>
  </si>
  <si>
    <t xml:space="preserve"> регулирования напряжения и компенсации реактивной мощности.</t>
  </si>
  <si>
    <t>1.1.1.2</t>
  </si>
  <si>
    <t>Подстанции 35/110кВ</t>
  </si>
  <si>
    <t>Реконструкция ПС №121 -35/6кВ (Замена тр-ров 2TONb 4000/35/6кВА на 2ТД 10000/35/6кВА; 2ЗРУ-6кВ на 2КРУ-6кВ)</t>
  </si>
  <si>
    <t>Реконструкция ПС №68 -35/6кВ (Замена тр-ров 1TONb 4000/35/6кВА на 1ТД 10000/35/6кВА; 1ЗРУ-6кВ на 1КРУ-6кВ)</t>
  </si>
  <si>
    <t>TONb 4000/35/6кВА-1шт., 
ТД 10000/35/6кВА - 
1шт.</t>
  </si>
  <si>
    <t>ТД 10000/35/6кВА - 
1шт.</t>
  </si>
  <si>
    <t>ТД 10000/35/6кВА - 
2шт.</t>
  </si>
  <si>
    <t>План 2018 года</t>
  </si>
  <si>
    <t>17</t>
  </si>
  <si>
    <t>Всего</t>
  </si>
  <si>
    <t>СМР</t>
  </si>
  <si>
    <t>ПИР</t>
  </si>
  <si>
    <t xml:space="preserve">оборудование и материалы
</t>
  </si>
  <si>
    <t xml:space="preserve">прочие
</t>
  </si>
  <si>
    <t xml:space="preserve"> - Повышение надежности и качества электроснабжения потребителей в п.Снежный, п.Таежный, п.Дорожный, п.Лесной, п.Юность; п.МК-32; п.МО-94; п.Лунный; п.Кедровый;</t>
  </si>
  <si>
    <t xml:space="preserve">  п.Гидростроитель; ПСО-34; п.Госснаб г. Сургут</t>
  </si>
  <si>
    <t xml:space="preserve">     градостроительного плана застройки г.Сургута (дачные объединения ДНТ "Барвиха", ПДК "Соколовка", ДНТ "Тихий Бор", ПДК №39 "Пищевик", ДНП "Кедр-1")</t>
  </si>
  <si>
    <t>Реконструкция, модернизация и техническое перевооружение объектов электросетевого хозяйства;</t>
  </si>
  <si>
    <t>Замена силового электрооборудования. Повышение надежности и качества электроснабжения потребителей; электроснабжение объектов в вязи с отсутствием дополнительной электрической мощности.</t>
  </si>
  <si>
    <t>Наименование инвестиционного проекта: Реконструкция ПС №121 -35/6кВ (Замена тр-ров 2TONb 4000/35/6кВА на 2ТД 10000/35/6кВА; 2ЗРУ-6кВ на 2КРУ-6кВ)</t>
  </si>
  <si>
    <t>2018г</t>
  </si>
  <si>
    <t>Финансовая    модель по проекту инвестиционной программы</t>
  </si>
  <si>
    <t>1.1.2.1</t>
  </si>
  <si>
    <t>Воздушные линии 35/6кВ</t>
  </si>
  <si>
    <t>Замена существующих ВЛ-35/6 кВ с большим сроком эксплуатации. Увеличение сечения кабелей обеспечит повышение пропускной способности ВЛ-35/6кВ.  Повышение надежности и качества электроснабжения потребителей.</t>
  </si>
  <si>
    <t>Наименование инвестиционного проекта: Реконструкция ВЛ-35кВ от ВЛ-35 кВ "Восточный-1,2" до ПС 35/6 кВ "121,68</t>
  </si>
  <si>
    <t>год окончания 
строительства объекта 2016</t>
  </si>
  <si>
    <t>Реконструкция ВЛ-35кВ от ВЛ-35 кВ "Восточный-1,2" до ПС 35/6 кВ "121,68"</t>
  </si>
  <si>
    <t>Монтаж системы телемеханики на ПС №68 -35/6кВ</t>
  </si>
  <si>
    <t>монтаж системы телемеханики. Повышение надежности и качества электроснабжения потребителей.</t>
  </si>
  <si>
    <t>Монтаж системы АИИС КУЭ ПС; РП; ТП; КТПН</t>
  </si>
  <si>
    <t>1.3.2.</t>
  </si>
  <si>
    <t>Монтаж системы АИИС КУЭ на ПС №68 -35/6кВ</t>
  </si>
  <si>
    <t>Монтаж системы АИИС КУЭ на ПС №121 -35/6кВ</t>
  </si>
  <si>
    <t>Энергосбережение и повышение энергоэффективности согласно ФЗ-261 от 23.11.09 г. Для сбора и передачи информации с узлов учета жилого фонда города</t>
  </si>
  <si>
    <t>План 2019 года</t>
  </si>
  <si>
    <t>План 2020 года</t>
  </si>
  <si>
    <t>2019г</t>
  </si>
  <si>
    <t>2020г</t>
  </si>
  <si>
    <t>февраль 2016г.</t>
  </si>
  <si>
    <t>март 2016г.</t>
  </si>
  <si>
    <t>март  2016г.</t>
  </si>
  <si>
    <t>апрель 2016г.</t>
  </si>
  <si>
    <t>май 2016г.</t>
  </si>
  <si>
    <t>июль 2016г.</t>
  </si>
  <si>
    <t>август 2016г.</t>
  </si>
  <si>
    <t>сентябрь 2016г.</t>
  </si>
  <si>
    <t>октябрь 2016г.</t>
  </si>
  <si>
    <t>октябрь 2018г.</t>
  </si>
  <si>
    <t>от 5 апреля 2013г. №184</t>
  </si>
  <si>
    <t>Приложение  № 6</t>
  </si>
  <si>
    <t>Приложение  №3</t>
  </si>
  <si>
    <t>18</t>
  </si>
  <si>
    <t>19</t>
  </si>
  <si>
    <t>20</t>
  </si>
  <si>
    <t>21</t>
  </si>
  <si>
    <t>5</t>
  </si>
  <si>
    <t>6</t>
  </si>
  <si>
    <t>7</t>
  </si>
  <si>
    <t>8</t>
  </si>
  <si>
    <t>9</t>
  </si>
  <si>
    <t>22</t>
  </si>
  <si>
    <t>Приложение №1.3</t>
  </si>
  <si>
    <t>№114 от 24 марта 2010г.</t>
  </si>
  <si>
    <t>Монтаж системы телемеханики на ПС №121-35/6кВ</t>
  </si>
  <si>
    <t>АС-150</t>
  </si>
  <si>
    <t>Подстанции 35/6кВ</t>
  </si>
  <si>
    <t>Подстанции 35/ 6/10кВ</t>
  </si>
  <si>
    <t>октябрь 2019г</t>
  </si>
  <si>
    <t>декабрь 2019г</t>
  </si>
  <si>
    <t>Финансовая модель 
(в разрезе каждого юридического лица группы/по конечным видам выпускаемой продукции) 
по годам до 2020 года включительно</t>
  </si>
  <si>
    <t>Приложение  № 4.1</t>
  </si>
  <si>
    <t>Возмещаемый НДС (поступления)</t>
  </si>
  <si>
    <t>Наименование показателя</t>
  </si>
  <si>
    <t>Значение показателя, годы &lt;**&gt;</t>
  </si>
  <si>
    <r>
      <t>Показатель средней продолжительности прекращений передачи электрической энергии (П</t>
    </r>
    <r>
      <rPr>
        <vertAlign val="subscript"/>
        <sz val="12"/>
        <color theme="1"/>
        <rFont val="Times New Roman"/>
        <family val="1"/>
        <charset val="204"/>
      </rPr>
      <t>п</t>
    </r>
    <r>
      <rPr>
        <sz val="12"/>
        <color theme="1"/>
        <rFont val="Times New Roman"/>
        <family val="1"/>
        <charset val="204"/>
      </rPr>
      <t>)</t>
    </r>
  </si>
  <si>
    <r>
      <t>Показатель уровня качества осуществляемого технологического присоединения (П</t>
    </r>
    <r>
      <rPr>
        <vertAlign val="subscript"/>
        <sz val="12"/>
        <color theme="1"/>
        <rFont val="Times New Roman"/>
        <family val="1"/>
        <charset val="204"/>
      </rPr>
      <t>тпр</t>
    </r>
    <r>
      <rPr>
        <sz val="12"/>
        <color theme="1"/>
        <rFont val="Times New Roman"/>
        <family val="1"/>
        <charset val="204"/>
      </rPr>
      <t>)</t>
    </r>
  </si>
  <si>
    <r>
      <t>Показатель уровня качества обслуживания потребителей услуг территориальными сетевыми организациями (П</t>
    </r>
    <r>
      <rPr>
        <vertAlign val="subscript"/>
        <sz val="12"/>
        <color theme="1"/>
        <rFont val="Times New Roman"/>
        <family val="1"/>
        <charset val="204"/>
      </rPr>
      <t>тсо</t>
    </r>
    <r>
      <rPr>
        <sz val="12"/>
        <color theme="1"/>
        <rFont val="Times New Roman"/>
        <family val="1"/>
        <charset val="204"/>
      </rPr>
      <t>) &lt;***&gt;</t>
    </r>
  </si>
  <si>
    <t xml:space="preserve">&lt;*&gt; Заполняется в отношении сетевых организаций, в том числе организации по управлению единой национальной </t>
  </si>
  <si>
    <t>(общероссийской) электрической сетью.</t>
  </si>
  <si>
    <t>&lt;**&gt; Количество заполняемых столбцов должно соответствовать периоду реализации инвестиционной программы.</t>
  </si>
  <si>
    <t>&lt;***&gt; Показатель не заполняется в отношении организации по управлению единой национальной (общероссийской)</t>
  </si>
  <si>
    <t xml:space="preserve"> электрической сетью.</t>
  </si>
  <si>
    <t xml:space="preserve">млн.рублей </t>
  </si>
  <si>
    <t>Объемы финансирования (млн.руб., с НДС)</t>
  </si>
  <si>
    <t>год окончания 
строительства объекта 2020</t>
  </si>
  <si>
    <t>Письмо Администрации г.Сургута Департамента  городского хозяйства №09-02-883/15 от 11.02.2015г.</t>
  </si>
  <si>
    <t>_______________ А.С. Григорьев</t>
  </si>
  <si>
    <t>Генеральный директор ООО "Энергетика Югры"</t>
  </si>
  <si>
    <t>ООО "Энергетика Югры" на 2016-2020 год (г.Сургут)</t>
  </si>
  <si>
    <t>Краткое описание инвестиционной программы
ООО "Энергетика Югры" на 2016-2020 год (г.Сургут)</t>
  </si>
  <si>
    <t>____________________ А.С. Григорьев</t>
  </si>
  <si>
    <t>ООО "Энергетика Югры" на 2016-2018 год (г.Сургут)</t>
  </si>
  <si>
    <t>ООО "Энергетика Югры"</t>
  </si>
  <si>
    <t>____________ А.С. Григорьев</t>
  </si>
  <si>
    <t>________ А.С. Григорьев</t>
  </si>
  <si>
    <t>________________ А.С. Григорьев</t>
  </si>
  <si>
    <t>___________________А.С. Григорьев</t>
  </si>
  <si>
    <t>__________________ А.С. Григорьев</t>
  </si>
  <si>
    <t xml:space="preserve">
Целевые показатели надежности и качества услуг по передаче электрической энергии
ООО "Энергетика Югры" на 2016-2020 год (г.Сургут)
</t>
  </si>
  <si>
    <t>Приложение № 1.4</t>
  </si>
  <si>
    <t>от 24 марта 2010 г. № 114</t>
  </si>
  <si>
    <t xml:space="preserve">Генеральный директор </t>
  </si>
  <si>
    <t>ООО "Энергетика-Югры"</t>
  </si>
  <si>
    <t>Рекомендуемая форма представления предложений о внесении изменений в перечень</t>
  </si>
  <si>
    <t>инвестиционных проектов, входящих в состав инвестиционной программы, млн. рублей с НДС</t>
  </si>
  <si>
    <t>Остаток стоимости на начало года**</t>
  </si>
  <si>
    <t>Объем финансирования [отчетный год]</t>
  </si>
  <si>
    <t>Осталось профинансировать по результатам отчетного периода**</t>
  </si>
  <si>
    <t>Объем корректировки****</t>
  </si>
  <si>
    <t>Причины
корректи-
ровки</t>
  </si>
  <si>
    <t>1 кв.</t>
  </si>
  <si>
    <t>2 кв.</t>
  </si>
  <si>
    <t>3 кв.</t>
  </si>
  <si>
    <t>4 кв.</t>
  </si>
  <si>
    <t>МВт, Гкал/час,
 км, МВА</t>
  </si>
  <si>
    <t>скорректированный объем ****</t>
  </si>
  <si>
    <t>уточнения стоимости по результатам закупочных процедур</t>
  </si>
  <si>
    <t>* Предоставляется ежегодно до 1 октября текущего года.</t>
  </si>
  <si>
    <t>** В ценах отчетного года.</t>
  </si>
  <si>
    <t>*** План, согласно утвержденной инвестиционной программе.</t>
  </si>
  <si>
    <t>**** Накопленным итогом за год.</t>
  </si>
  <si>
    <t>Инвестиционная программа ООО "Энергетика Югры" на 2016-2020 год (г.Сургут) утверждена приказом Департамента Жилищно-Коммунального комплекса</t>
  </si>
  <si>
    <t>Наименование инвестиционного проекта:  Реконструкция ПС №68 -35/6кВ (Замена тр-ров 2TONb 4000/35/6кВА на 2ТД 10000/35/6кВА; 1ЗРУ-6кВ на 1КРУ-6кВ)</t>
  </si>
  <si>
    <t>октябрь 2018</t>
  </si>
  <si>
    <t>декабрь 2018</t>
  </si>
  <si>
    <t>октябрь 2017г.</t>
  </si>
  <si>
    <t>Объем финансирования**** с НДС</t>
  </si>
  <si>
    <t>Работы и услуги производственного характера</t>
  </si>
  <si>
    <t>«___»________ 2017 года</t>
  </si>
  <si>
    <t>План 
финансирования 
текущего года 2017г</t>
  </si>
  <si>
    <t>Iкв. 
2017г</t>
  </si>
  <si>
    <t>IIкв.
2017г</t>
  </si>
  <si>
    <t>IVкв.
2017г</t>
  </si>
  <si>
    <t>Итого 
2017г</t>
  </si>
  <si>
    <t>Iкв. 
2017г.</t>
  </si>
  <si>
    <t>IIкв.
2017г.</t>
  </si>
  <si>
    <t>IIIкв. 
2017г.</t>
  </si>
  <si>
    <t>IVкв.
2017г.</t>
  </si>
  <si>
    <t>Итого 
2017г.</t>
  </si>
  <si>
    <t>2016г</t>
  </si>
  <si>
    <t xml:space="preserve"> ХМАО – Югры №78-П от 20.07.2015г.; приказом о корректировке №53-П от 19.05.2016г</t>
  </si>
  <si>
    <t>Процент 
освоения 
сметной стоимости
на 
01.01.17 года, %</t>
  </si>
  <si>
    <t>Техническая 
готовность 
объекта
на 
01.01.2017, %
**</t>
  </si>
  <si>
    <t>Остаточная стоимость 
объекта
на 01.01.17 года, 
млн.рублей</t>
  </si>
  <si>
    <t>"_____" _________ 2017 года</t>
  </si>
  <si>
    <t>по состоянию на 01.01.2017 г.</t>
  </si>
  <si>
    <t>декабрь 2017г.</t>
  </si>
  <si>
    <t>«____»______ 2017 года</t>
  </si>
  <si>
    <t>«_____»_____________ 2017 года</t>
  </si>
  <si>
    <t>TONb 4000/35/6кВА -
1 шт.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</si>
</sst>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_(* #,##0_);_(* \(#,##0\);_(* &quot;-&quot;_);_(@_)"/>
    <numFmt numFmtId="168" formatCode="#,##0.0"/>
    <numFmt numFmtId="169" formatCode="#,##0.000"/>
    <numFmt numFmtId="170" formatCode="0.0%"/>
    <numFmt numFmtId="171" formatCode="_(* #,##0.00_);_(* \(#,##0.00\);_(* &quot;-&quot;_);_(@_)"/>
    <numFmt numFmtId="172" formatCode="0.0"/>
    <numFmt numFmtId="173" formatCode="0.0000"/>
    <numFmt numFmtId="174" formatCode="0.000"/>
    <numFmt numFmtId="175" formatCode="_-* #,##0.000_р_._-;\-* #,##0.000_р_._-;_-* &quot;-&quot;???_р_._-;_-@_-"/>
    <numFmt numFmtId="176" formatCode="&quot;$&quot;#,##0_);[Red]\(&quot;$&quot;#,##0\)"/>
    <numFmt numFmtId="177" formatCode="General_)"/>
    <numFmt numFmtId="178" formatCode="_-* #,##0_$_-;\-* #,##0_$_-;_-* &quot;-&quot;_$_-;_-@_-"/>
    <numFmt numFmtId="179" formatCode="_-* #,##0.00&quot;$&quot;_-;\-* #,##0.00&quot;$&quot;_-;_-* &quot;-&quot;??&quot;$&quot;_-;_-@_-"/>
    <numFmt numFmtId="180" formatCode="_-* #,##0.00_$_-;\-* #,##0.00_$_-;_-* &quot;-&quot;??_$_-;_-@_-"/>
    <numFmt numFmtId="181" formatCode="_-* #,##0\ _d_._-;\-* #,##0\ _d_._-;_-* &quot;-&quot;\ _d_._-;_-@_-"/>
    <numFmt numFmtId="182" formatCode="_-* #,##0.00\ _d_._-;\-* #,##0.00\ _d_._-;_-* &quot;-&quot;??\ _d_._-;_-@_-"/>
    <numFmt numFmtId="183" formatCode="_-* #,##0.00_р_._-;\-* #,##0.00_р_._-;_-* &quot;-&quot;???_р_._-;_-@_-"/>
  </numFmts>
  <fonts count="80">
    <font>
      <sz val="12"/>
      <name val="Times New Roman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b/>
      <sz val="12"/>
      <name val="Times New Roman CYR"/>
    </font>
    <font>
      <sz val="12"/>
      <name val="Times New Roman CYR"/>
    </font>
    <font>
      <b/>
      <i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u/>
      <sz val="12"/>
      <name val="Times New Roman"/>
      <family val="1"/>
      <charset val="204"/>
    </font>
    <font>
      <sz val="10"/>
      <name val="Arial"/>
      <family val="2"/>
      <charset val="204"/>
    </font>
    <font>
      <sz val="12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Helv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u/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26"/>
      <name val="Times New Roman"/>
      <family val="1"/>
      <charset val="204"/>
    </font>
    <font>
      <sz val="10"/>
      <name val="Helv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0"/>
      <name val="MS Sans Serif"/>
      <family val="2"/>
      <charset val="204"/>
    </font>
    <font>
      <sz val="12"/>
      <name val="Times New Roman Cyr"/>
      <charset val="204"/>
    </font>
    <font>
      <sz val="8"/>
      <name val="Optima"/>
      <family val="2"/>
    </font>
    <font>
      <sz val="8"/>
      <name val="Helv"/>
      <charset val="204"/>
    </font>
    <font>
      <sz val="8"/>
      <name val="Helv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0"/>
      <name val="NTHarmonica"/>
    </font>
    <font>
      <b/>
      <sz val="16"/>
      <color rgb="FFFF000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20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vertAlign val="subscript"/>
      <sz val="12"/>
      <color theme="1"/>
      <name val="Times New Roman"/>
      <family val="1"/>
      <charset val="204"/>
    </font>
    <font>
      <sz val="9"/>
      <name val="Times New Roman"/>
      <family val="1"/>
      <charset val="204"/>
    </font>
    <font>
      <b/>
      <sz val="8.5"/>
      <name val="Times New Roman"/>
      <family val="1"/>
      <charset val="204"/>
    </font>
    <font>
      <sz val="8.5"/>
      <name val="Times New Roman"/>
      <family val="1"/>
      <charset val="204"/>
    </font>
    <font>
      <sz val="7"/>
      <name val="Times New Roman"/>
      <family val="1"/>
      <charset val="204"/>
    </font>
    <font>
      <u/>
      <sz val="7"/>
      <name val="Times New Roman"/>
      <family val="1"/>
      <charset val="204"/>
    </font>
    <font>
      <b/>
      <sz val="8"/>
      <name val="Times New Roman"/>
      <family val="1"/>
      <charset val="204"/>
    </font>
    <font>
      <sz val="12"/>
      <color theme="0"/>
      <name val="Times New Roman"/>
      <family val="1"/>
      <charset val="204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</fills>
  <borders count="70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80">
    <xf numFmtId="0" fontId="0" fillId="0" borderId="0"/>
    <xf numFmtId="0" fontId="45" fillId="0" borderId="0"/>
    <xf numFmtId="0" fontId="46" fillId="0" borderId="1">
      <protection locked="0"/>
    </xf>
    <xf numFmtId="165" fontId="46" fillId="0" borderId="0">
      <protection locked="0"/>
    </xf>
    <xf numFmtId="165" fontId="46" fillId="0" borderId="0">
      <protection locked="0"/>
    </xf>
    <xf numFmtId="165" fontId="46" fillId="0" borderId="0">
      <protection locked="0"/>
    </xf>
    <xf numFmtId="0" fontId="47" fillId="0" borderId="0">
      <protection locked="0"/>
    </xf>
    <xf numFmtId="0" fontId="47" fillId="0" borderId="0">
      <protection locked="0"/>
    </xf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178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76" fontId="48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49" fillId="0" borderId="0">
      <alignment vertical="center" wrapText="1"/>
    </xf>
    <xf numFmtId="0" fontId="50" fillId="0" borderId="0"/>
    <xf numFmtId="0" fontId="51" fillId="0" borderId="0"/>
    <xf numFmtId="181" fontId="21" fillId="0" borderId="0" applyFont="0" applyFill="0" applyBorder="0" applyAlignment="0" applyProtection="0"/>
    <xf numFmtId="182" fontId="21" fillId="0" borderId="0" applyFont="0" applyFill="0" applyBorder="0" applyAlignment="0" applyProtection="0"/>
    <xf numFmtId="0" fontId="52" fillId="0" borderId="0" applyNumberFormat="0">
      <alignment horizontal="left"/>
    </xf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177" fontId="53" fillId="0" borderId="2">
      <protection locked="0"/>
    </xf>
    <xf numFmtId="0" fontId="5" fillId="7" borderId="3" applyNumberFormat="0" applyAlignment="0" applyProtection="0"/>
    <xf numFmtId="0" fontId="6" fillId="20" borderId="4" applyNumberFormat="0" applyAlignment="0" applyProtection="0"/>
    <xf numFmtId="0" fontId="7" fillId="20" borderId="3" applyNumberFormat="0" applyAlignment="0" applyProtection="0"/>
    <xf numFmtId="0" fontId="54" fillId="0" borderId="0" applyBorder="0">
      <alignment horizontal="center" vertical="center" wrapText="1"/>
    </xf>
    <xf numFmtId="0" fontId="8" fillId="0" borderId="5" applyNumberFormat="0" applyFill="0" applyAlignment="0" applyProtection="0"/>
    <xf numFmtId="0" fontId="9" fillId="0" borderId="6" applyNumberFormat="0" applyFill="0" applyAlignment="0" applyProtection="0"/>
    <xf numFmtId="0" fontId="10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55" fillId="0" borderId="8" applyBorder="0">
      <alignment horizontal="center" vertical="center" wrapText="1"/>
    </xf>
    <xf numFmtId="177" fontId="56" fillId="21" borderId="2"/>
    <xf numFmtId="4" fontId="57" fillId="22" borderId="9" applyBorder="0">
      <alignment horizontal="right"/>
    </xf>
    <xf numFmtId="0" fontId="11" fillId="0" borderId="10" applyNumberFormat="0" applyFill="0" applyAlignment="0" applyProtection="0"/>
    <xf numFmtId="0" fontId="12" fillId="23" borderId="11" applyNumberFormat="0" applyAlignment="0" applyProtection="0"/>
    <xf numFmtId="0" fontId="13" fillId="0" borderId="0" applyNumberFormat="0" applyFill="0" applyBorder="0" applyAlignment="0" applyProtection="0"/>
    <xf numFmtId="0" fontId="14" fillId="24" borderId="0" applyNumberFormat="0" applyBorder="0" applyAlignment="0" applyProtection="0"/>
    <xf numFmtId="0" fontId="21" fillId="0" borderId="0"/>
    <xf numFmtId="0" fontId="1" fillId="0" borderId="0"/>
    <xf numFmtId="0" fontId="29" fillId="0" borderId="0"/>
    <xf numFmtId="0" fontId="21" fillId="0" borderId="0"/>
    <xf numFmtId="0" fontId="30" fillId="0" borderId="0"/>
    <xf numFmtId="0" fontId="34" fillId="0" borderId="0"/>
    <xf numFmtId="0" fontId="1" fillId="0" borderId="0"/>
    <xf numFmtId="0" fontId="49" fillId="0" borderId="0">
      <alignment vertical="center" wrapText="1"/>
    </xf>
    <xf numFmtId="0" fontId="15" fillId="3" borderId="0" applyNumberFormat="0" applyBorder="0" applyAlignment="0" applyProtection="0"/>
    <xf numFmtId="0" fontId="16" fillId="0" borderId="0" applyNumberFormat="0" applyFill="0" applyBorder="0" applyAlignment="0" applyProtection="0"/>
    <xf numFmtId="0" fontId="3" fillId="25" borderId="12" applyNumberFormat="0" applyFont="0" applyAlignment="0" applyProtection="0"/>
    <xf numFmtId="0" fontId="17" fillId="0" borderId="13" applyNumberFormat="0" applyFill="0" applyAlignment="0" applyProtection="0"/>
    <xf numFmtId="0" fontId="30" fillId="0" borderId="0"/>
    <xf numFmtId="0" fontId="18" fillId="0" borderId="0" applyNumberFormat="0" applyFill="0" applyBorder="0" applyAlignment="0" applyProtection="0"/>
    <xf numFmtId="164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4" fontId="57" fillId="26" borderId="0" applyBorder="0">
      <alignment horizontal="right"/>
    </xf>
    <xf numFmtId="0" fontId="19" fillId="4" borderId="0" applyNumberFormat="0" applyBorder="0" applyAlignment="0" applyProtection="0"/>
    <xf numFmtId="165" fontId="46" fillId="0" borderId="0">
      <protection locked="0"/>
    </xf>
    <xf numFmtId="0" fontId="60" fillId="0" borderId="0"/>
    <xf numFmtId="0" fontId="27" fillId="0" borderId="0"/>
    <xf numFmtId="0" fontId="21" fillId="0" borderId="0"/>
  </cellStyleXfs>
  <cellXfs count="970">
    <xf numFmtId="0" fontId="0" fillId="0" borderId="0" xfId="0"/>
    <xf numFmtId="0" fontId="1" fillId="0" borderId="0" xfId="0" applyFont="1"/>
    <xf numFmtId="0" fontId="1" fillId="0" borderId="0" xfId="0" applyFont="1" applyAlignment="1"/>
    <xf numFmtId="0" fontId="1" fillId="0" borderId="0" xfId="0" applyFont="1" applyAlignment="1">
      <alignment horizontal="right"/>
    </xf>
    <xf numFmtId="0" fontId="1" fillId="0" borderId="9" xfId="0" applyFont="1" applyFill="1" applyBorder="1" applyAlignment="1">
      <alignment horizontal="left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left" vertical="center" wrapText="1"/>
    </xf>
    <xf numFmtId="0" fontId="1" fillId="0" borderId="0" xfId="0" applyFont="1" applyBorder="1"/>
    <xf numFmtId="0" fontId="1" fillId="0" borderId="0" xfId="0" applyFont="1" applyFill="1" applyBorder="1" applyAlignment="1">
      <alignment horizontal="left" vertical="center"/>
    </xf>
    <xf numFmtId="0" fontId="2" fillId="0" borderId="0" xfId="0" applyFont="1"/>
    <xf numFmtId="0" fontId="1" fillId="0" borderId="0" xfId="0" applyFont="1" applyFill="1"/>
    <xf numFmtId="0" fontId="1" fillId="0" borderId="16" xfId="0" applyFont="1" applyFill="1" applyBorder="1" applyAlignment="1">
      <alignment horizontal="center" vertical="center" wrapText="1"/>
    </xf>
    <xf numFmtId="1" fontId="2" fillId="0" borderId="0" xfId="0" applyNumberFormat="1" applyFont="1" applyAlignment="1">
      <alignment horizontal="left" vertical="top"/>
    </xf>
    <xf numFmtId="49" fontId="1" fillId="0" borderId="0" xfId="0" applyNumberFormat="1" applyFont="1" applyAlignment="1">
      <alignment horizontal="left" vertical="top" wrapText="1"/>
    </xf>
    <xf numFmtId="2" fontId="1" fillId="0" borderId="0" xfId="0" applyNumberFormat="1" applyFont="1" applyAlignment="1">
      <alignment vertical="top"/>
    </xf>
    <xf numFmtId="2" fontId="1" fillId="0" borderId="0" xfId="0" applyNumberFormat="1" applyFont="1" applyAlignment="1">
      <alignment horizontal="center" vertical="top" wrapText="1"/>
    </xf>
    <xf numFmtId="49" fontId="1" fillId="0" borderId="0" xfId="0" applyNumberFormat="1" applyFont="1" applyBorder="1" applyAlignment="1">
      <alignment horizontal="left" vertical="top"/>
    </xf>
    <xf numFmtId="0" fontId="2" fillId="0" borderId="9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 vertical="top"/>
    </xf>
    <xf numFmtId="0" fontId="2" fillId="0" borderId="0" xfId="0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 wrapText="1"/>
    </xf>
    <xf numFmtId="0" fontId="2" fillId="0" borderId="18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1" fillId="0" borderId="20" xfId="0" applyFont="1" applyFill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center" vertical="center" wrapText="1"/>
    </xf>
    <xf numFmtId="0" fontId="1" fillId="0" borderId="22" xfId="0" applyFont="1" applyFill="1" applyBorder="1" applyAlignment="1">
      <alignment horizontal="center" vertical="center" wrapText="1"/>
    </xf>
    <xf numFmtId="0" fontId="1" fillId="0" borderId="19" xfId="0" applyFont="1" applyFill="1" applyBorder="1" applyAlignment="1">
      <alignment horizontal="center" vertical="center" wrapText="1"/>
    </xf>
    <xf numFmtId="0" fontId="1" fillId="0" borderId="23" xfId="0" applyFont="1" applyFill="1" applyBorder="1" applyAlignment="1">
      <alignment horizontal="center" vertical="center" wrapText="1"/>
    </xf>
    <xf numFmtId="0" fontId="1" fillId="0" borderId="24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 wrapText="1"/>
    </xf>
    <xf numFmtId="0" fontId="1" fillId="0" borderId="25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  <xf numFmtId="0" fontId="2" fillId="0" borderId="24" xfId="0" applyFont="1" applyFill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16" fontId="2" fillId="0" borderId="16" xfId="0" applyNumberFormat="1" applyFont="1" applyFill="1" applyBorder="1" applyAlignment="1">
      <alignment horizontal="center" vertical="center" wrapText="1"/>
    </xf>
    <xf numFmtId="0" fontId="1" fillId="0" borderId="9" xfId="0" applyFont="1" applyBorder="1" applyAlignment="1">
      <alignment horizontal="justify" vertical="top" wrapText="1"/>
    </xf>
    <xf numFmtId="0" fontId="1" fillId="0" borderId="9" xfId="0" applyFont="1" applyFill="1" applyBorder="1" applyAlignment="1">
      <alignment horizontal="justify" vertical="top" wrapText="1"/>
    </xf>
    <xf numFmtId="0" fontId="1" fillId="0" borderId="9" xfId="0" applyFont="1" applyBorder="1" applyAlignment="1">
      <alignment vertical="top" wrapText="1"/>
    </xf>
    <xf numFmtId="2" fontId="26" fillId="0" borderId="0" xfId="0" applyNumberFormat="1" applyFont="1" applyAlignment="1">
      <alignment horizontal="right" vertical="top" wrapText="1"/>
    </xf>
    <xf numFmtId="16" fontId="2" fillId="0" borderId="24" xfId="0" applyNumberFormat="1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center"/>
    </xf>
    <xf numFmtId="0" fontId="2" fillId="0" borderId="26" xfId="0" applyFont="1" applyBorder="1" applyAlignment="1">
      <alignment horizontal="center" vertical="center" wrapText="1"/>
    </xf>
    <xf numFmtId="0" fontId="1" fillId="0" borderId="27" xfId="0" applyFont="1" applyFill="1" applyBorder="1" applyAlignment="1">
      <alignment horizontal="center" vertical="center" wrapText="1"/>
    </xf>
    <xf numFmtId="0" fontId="1" fillId="0" borderId="28" xfId="0" applyFont="1" applyFill="1" applyBorder="1" applyAlignment="1">
      <alignment horizontal="center" vertical="center" wrapText="1"/>
    </xf>
    <xf numFmtId="0" fontId="1" fillId="0" borderId="26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0" xfId="59" applyFont="1" applyAlignment="1">
      <alignment horizontal="right" vertical="center"/>
    </xf>
    <xf numFmtId="0" fontId="1" fillId="0" borderId="0" xfId="59" applyFont="1" applyFill="1"/>
    <xf numFmtId="0" fontId="1" fillId="0" borderId="9" xfId="59" applyFont="1" applyFill="1" applyBorder="1" applyAlignment="1">
      <alignment horizontal="center" vertical="center" wrapText="1"/>
    </xf>
    <xf numFmtId="0" fontId="1" fillId="0" borderId="0" xfId="59" applyFont="1" applyFill="1" applyBorder="1"/>
    <xf numFmtId="0" fontId="1" fillId="0" borderId="0" xfId="59" applyFont="1" applyAlignment="1">
      <alignment vertical="center"/>
    </xf>
    <xf numFmtId="0" fontId="35" fillId="0" borderId="0" xfId="59" applyFont="1" applyAlignment="1">
      <alignment vertical="center"/>
    </xf>
    <xf numFmtId="0" fontId="35" fillId="0" borderId="0" xfId="59" applyFont="1" applyAlignment="1">
      <alignment horizontal="center" vertical="center"/>
    </xf>
    <xf numFmtId="0" fontId="37" fillId="0" borderId="0" xfId="59" applyFont="1" applyAlignment="1">
      <alignment horizontal="left" vertical="center"/>
    </xf>
    <xf numFmtId="0" fontId="38" fillId="0" borderId="0" xfId="59" applyFont="1" applyAlignment="1">
      <alignment vertical="center"/>
    </xf>
    <xf numFmtId="0" fontId="1" fillId="0" borderId="29" xfId="59" applyFont="1" applyBorder="1" applyAlignment="1">
      <alignment vertical="center"/>
    </xf>
    <xf numFmtId="0" fontId="28" fillId="0" borderId="0" xfId="59" applyFont="1" applyAlignment="1">
      <alignment vertical="center"/>
    </xf>
    <xf numFmtId="0" fontId="1" fillId="0" borderId="31" xfId="59" applyFont="1" applyBorder="1" applyAlignment="1">
      <alignment vertical="center"/>
    </xf>
    <xf numFmtId="3" fontId="36" fillId="0" borderId="32" xfId="59" applyNumberFormat="1" applyFont="1" applyBorder="1" applyAlignment="1">
      <alignment vertical="center"/>
    </xf>
    <xf numFmtId="0" fontId="1" fillId="0" borderId="33" xfId="59" applyFont="1" applyBorder="1" applyAlignment="1">
      <alignment vertical="center"/>
    </xf>
    <xf numFmtId="0" fontId="1" fillId="0" borderId="0" xfId="59" applyFont="1" applyBorder="1" applyAlignment="1">
      <alignment vertical="center"/>
    </xf>
    <xf numFmtId="0" fontId="1" fillId="0" borderId="34" xfId="59" applyFont="1" applyBorder="1" applyAlignment="1">
      <alignment vertical="center"/>
    </xf>
    <xf numFmtId="3" fontId="36" fillId="0" borderId="35" xfId="59" applyNumberFormat="1" applyFont="1" applyBorder="1" applyAlignment="1">
      <alignment vertical="center"/>
    </xf>
    <xf numFmtId="9" fontId="36" fillId="0" borderId="35" xfId="59" applyNumberFormat="1" applyFont="1" applyBorder="1" applyAlignment="1">
      <alignment vertical="center"/>
    </xf>
    <xf numFmtId="0" fontId="1" fillId="0" borderId="36" xfId="59" applyFont="1" applyBorder="1" applyAlignment="1">
      <alignment vertical="center"/>
    </xf>
    <xf numFmtId="3" fontId="36" fillId="0" borderId="29" xfId="59" applyNumberFormat="1" applyFont="1" applyBorder="1" applyAlignment="1">
      <alignment vertical="center"/>
    </xf>
    <xf numFmtId="0" fontId="1" fillId="0" borderId="37" xfId="59" applyFont="1" applyBorder="1" applyAlignment="1">
      <alignment vertical="center"/>
    </xf>
    <xf numFmtId="10" fontId="36" fillId="0" borderId="38" xfId="59" applyNumberFormat="1" applyFont="1" applyBorder="1" applyAlignment="1">
      <alignment vertical="center"/>
    </xf>
    <xf numFmtId="10" fontId="36" fillId="0" borderId="31" xfId="59" applyNumberFormat="1" applyFont="1" applyBorder="1" applyAlignment="1">
      <alignment vertical="center"/>
    </xf>
    <xf numFmtId="0" fontId="1" fillId="0" borderId="39" xfId="59" applyFont="1" applyBorder="1" applyAlignment="1">
      <alignment vertical="center"/>
    </xf>
    <xf numFmtId="10" fontId="36" fillId="0" borderId="34" xfId="59" applyNumberFormat="1" applyFont="1" applyBorder="1" applyAlignment="1">
      <alignment vertical="center"/>
    </xf>
    <xf numFmtId="0" fontId="1" fillId="0" borderId="40" xfId="59" applyFont="1" applyFill="1" applyBorder="1" applyAlignment="1">
      <alignment horizontal="left" vertical="center"/>
    </xf>
    <xf numFmtId="0" fontId="1" fillId="0" borderId="41" xfId="59" applyFont="1" applyFill="1" applyBorder="1" applyAlignment="1">
      <alignment horizontal="center" vertical="center" wrapText="1"/>
    </xf>
    <xf numFmtId="0" fontId="1" fillId="0" borderId="41" xfId="59" applyFont="1" applyFill="1" applyBorder="1" applyAlignment="1">
      <alignment horizontal="center" vertical="center"/>
    </xf>
    <xf numFmtId="1" fontId="1" fillId="0" borderId="41" xfId="59" applyNumberFormat="1" applyFont="1" applyFill="1" applyBorder="1" applyAlignment="1">
      <alignment horizontal="center" vertical="center"/>
    </xf>
    <xf numFmtId="0" fontId="1" fillId="0" borderId="41" xfId="59" applyNumberFormat="1" applyFont="1" applyFill="1" applyBorder="1" applyAlignment="1">
      <alignment horizontal="center" vertical="center"/>
    </xf>
    <xf numFmtId="0" fontId="1" fillId="0" borderId="42" xfId="59" applyNumberFormat="1" applyFont="1" applyFill="1" applyBorder="1" applyAlignment="1">
      <alignment horizontal="center" vertical="center"/>
    </xf>
    <xf numFmtId="0" fontId="1" fillId="0" borderId="16" xfId="59" applyFont="1" applyFill="1" applyBorder="1" applyAlignment="1">
      <alignment vertical="center"/>
    </xf>
    <xf numFmtId="10" fontId="39" fillId="0" borderId="9" xfId="59" applyNumberFormat="1" applyFont="1" applyFill="1" applyBorder="1" applyAlignment="1">
      <alignment vertical="center"/>
    </xf>
    <xf numFmtId="0" fontId="1" fillId="0" borderId="20" xfId="59" applyFont="1" applyFill="1" applyBorder="1" applyAlignment="1">
      <alignment vertical="center"/>
    </xf>
    <xf numFmtId="2" fontId="39" fillId="0" borderId="21" xfId="59" applyNumberFormat="1" applyFont="1" applyFill="1" applyBorder="1" applyAlignment="1">
      <alignment vertical="center"/>
    </xf>
    <xf numFmtId="3" fontId="39" fillId="0" borderId="21" xfId="59" applyNumberFormat="1" applyFont="1" applyFill="1" applyBorder="1" applyAlignment="1">
      <alignment vertical="center"/>
    </xf>
    <xf numFmtId="0" fontId="35" fillId="0" borderId="40" xfId="59" applyFont="1" applyBorder="1" applyAlignment="1">
      <alignment vertical="center"/>
    </xf>
    <xf numFmtId="0" fontId="1" fillId="0" borderId="16" xfId="59" applyFont="1" applyBorder="1" applyAlignment="1">
      <alignment vertical="center"/>
    </xf>
    <xf numFmtId="3" fontId="39" fillId="0" borderId="9" xfId="59" applyNumberFormat="1" applyFont="1" applyBorder="1" applyAlignment="1">
      <alignment vertical="center"/>
    </xf>
    <xf numFmtId="3" fontId="39" fillId="0" borderId="21" xfId="59" applyNumberFormat="1" applyFont="1" applyBorder="1" applyAlignment="1">
      <alignment vertical="center"/>
    </xf>
    <xf numFmtId="0" fontId="1" fillId="0" borderId="0" xfId="59" applyFont="1" applyFill="1" applyBorder="1" applyAlignment="1">
      <alignment vertical="center"/>
    </xf>
    <xf numFmtId="3" fontId="1" fillId="0" borderId="0" xfId="59" applyNumberFormat="1" applyFont="1" applyBorder="1" applyAlignment="1">
      <alignment vertical="center"/>
    </xf>
    <xf numFmtId="0" fontId="35" fillId="0" borderId="16" xfId="59" applyFont="1" applyBorder="1" applyAlignment="1">
      <alignment vertical="center"/>
    </xf>
    <xf numFmtId="167" fontId="40" fillId="0" borderId="9" xfId="59" applyNumberFormat="1" applyFont="1" applyBorder="1" applyAlignment="1">
      <alignment vertical="center"/>
    </xf>
    <xf numFmtId="167" fontId="39" fillId="0" borderId="9" xfId="59" applyNumberFormat="1" applyFont="1" applyBorder="1" applyAlignment="1">
      <alignment vertical="center"/>
    </xf>
    <xf numFmtId="0" fontId="1" fillId="0" borderId="16" xfId="59" applyFont="1" applyBorder="1" applyAlignment="1">
      <alignment horizontal="left" vertical="center"/>
    </xf>
    <xf numFmtId="0" fontId="35" fillId="0" borderId="16" xfId="59" applyFont="1" applyBorder="1" applyAlignment="1">
      <alignment horizontal="left" vertical="center"/>
    </xf>
    <xf numFmtId="0" fontId="35" fillId="0" borderId="20" xfId="59" applyFont="1" applyBorder="1" applyAlignment="1">
      <alignment horizontal="left" vertical="center"/>
    </xf>
    <xf numFmtId="167" fontId="40" fillId="0" borderId="21" xfId="59" applyNumberFormat="1" applyFont="1" applyBorder="1" applyAlignment="1">
      <alignment vertical="center"/>
    </xf>
    <xf numFmtId="167" fontId="39" fillId="0" borderId="9" xfId="59" applyNumberFormat="1" applyFont="1" applyFill="1" applyBorder="1" applyAlignment="1">
      <alignment vertical="center"/>
    </xf>
    <xf numFmtId="0" fontId="35" fillId="0" borderId="16" xfId="59" applyFont="1" applyFill="1" applyBorder="1" applyAlignment="1">
      <alignment horizontal="left" vertical="center"/>
    </xf>
    <xf numFmtId="0" fontId="1" fillId="0" borderId="16" xfId="59" applyFont="1" applyFill="1" applyBorder="1" applyAlignment="1">
      <alignment horizontal="left" vertical="center"/>
    </xf>
    <xf numFmtId="169" fontId="39" fillId="0" borderId="9" xfId="59" applyNumberFormat="1" applyFont="1" applyBorder="1" applyAlignment="1">
      <alignment horizontal="center" vertical="center"/>
    </xf>
    <xf numFmtId="0" fontId="35" fillId="0" borderId="16" xfId="59" applyFont="1" applyFill="1" applyBorder="1" applyAlignment="1">
      <alignment vertical="center"/>
    </xf>
    <xf numFmtId="167" fontId="40" fillId="0" borderId="9" xfId="59" applyNumberFormat="1" applyFont="1" applyFill="1" applyBorder="1" applyAlignment="1">
      <alignment vertical="center"/>
    </xf>
    <xf numFmtId="170" fontId="40" fillId="0" borderId="9" xfId="59" applyNumberFormat="1" applyFont="1" applyFill="1" applyBorder="1" applyAlignment="1">
      <alignment vertical="center"/>
    </xf>
    <xf numFmtId="171" fontId="40" fillId="0" borderId="9" xfId="59" applyNumberFormat="1" applyFont="1" applyFill="1" applyBorder="1" applyAlignment="1">
      <alignment vertical="center"/>
    </xf>
    <xf numFmtId="0" fontId="35" fillId="0" borderId="20" xfId="59" applyFont="1" applyFill="1" applyBorder="1" applyAlignment="1">
      <alignment vertical="center"/>
    </xf>
    <xf numFmtId="171" fontId="40" fillId="0" borderId="21" xfId="59" applyNumberFormat="1" applyFont="1" applyFill="1" applyBorder="1" applyAlignment="1">
      <alignment vertical="center"/>
    </xf>
    <xf numFmtId="0" fontId="1" fillId="0" borderId="9" xfId="59" applyFont="1" applyFill="1" applyBorder="1"/>
    <xf numFmtId="0" fontId="31" fillId="0" borderId="0" xfId="59" applyFont="1" applyAlignment="1">
      <alignment vertical="center"/>
    </xf>
    <xf numFmtId="49" fontId="1" fillId="0" borderId="0" xfId="59" applyNumberFormat="1" applyFont="1" applyFill="1" applyAlignment="1">
      <alignment horizontal="center"/>
    </xf>
    <xf numFmtId="0" fontId="1" fillId="0" borderId="0" xfId="59" applyFont="1" applyFill="1" applyAlignment="1">
      <alignment wrapText="1"/>
    </xf>
    <xf numFmtId="49" fontId="25" fillId="0" borderId="0" xfId="59" applyNumberFormat="1" applyFont="1" applyFill="1" applyAlignment="1">
      <alignment horizontal="center"/>
    </xf>
    <xf numFmtId="49" fontId="1" fillId="0" borderId="0" xfId="59" applyNumberFormat="1" applyFont="1" applyFill="1" applyBorder="1" applyAlignment="1">
      <alignment horizontal="center" wrapText="1"/>
    </xf>
    <xf numFmtId="0" fontId="1" fillId="0" borderId="9" xfId="59" applyNumberFormat="1" applyFont="1" applyFill="1" applyBorder="1" applyAlignment="1">
      <alignment horizontal="center" vertical="top" wrapText="1"/>
    </xf>
    <xf numFmtId="0" fontId="1" fillId="0" borderId="9" xfId="59" applyNumberFormat="1" applyFont="1" applyFill="1" applyBorder="1" applyAlignment="1">
      <alignment horizontal="center" vertical="center" wrapText="1"/>
    </xf>
    <xf numFmtId="49" fontId="1" fillId="0" borderId="9" xfId="59" applyNumberFormat="1" applyFont="1" applyFill="1" applyBorder="1" applyAlignment="1">
      <alignment horizontal="center" vertical="top" wrapText="1"/>
    </xf>
    <xf numFmtId="49" fontId="1" fillId="0" borderId="9" xfId="59" applyNumberFormat="1" applyFont="1" applyFill="1" applyBorder="1" applyAlignment="1">
      <alignment horizontal="center"/>
    </xf>
    <xf numFmtId="49" fontId="1" fillId="0" borderId="9" xfId="59" applyNumberFormat="1" applyFont="1" applyFill="1" applyBorder="1" applyAlignment="1">
      <alignment wrapText="1"/>
    </xf>
    <xf numFmtId="49" fontId="2" fillId="0" borderId="9" xfId="59" applyNumberFormat="1" applyFont="1" applyFill="1" applyBorder="1" applyAlignment="1">
      <alignment horizontal="center"/>
    </xf>
    <xf numFmtId="49" fontId="2" fillId="0" borderId="9" xfId="59" applyNumberFormat="1" applyFont="1" applyFill="1" applyBorder="1" applyAlignment="1">
      <alignment wrapText="1"/>
    </xf>
    <xf numFmtId="164" fontId="39" fillId="0" borderId="9" xfId="59" applyNumberFormat="1" applyFont="1" applyBorder="1" applyAlignment="1">
      <alignment vertical="center"/>
    </xf>
    <xf numFmtId="4" fontId="42" fillId="0" borderId="0" xfId="60" applyNumberFormat="1" applyFont="1" applyFill="1" applyAlignment="1">
      <alignment horizontal="right"/>
    </xf>
    <xf numFmtId="0" fontId="42" fillId="0" borderId="9" xfId="60" applyFont="1" applyFill="1" applyBorder="1" applyAlignment="1">
      <alignment horizontal="center" vertical="center" wrapText="1"/>
    </xf>
    <xf numFmtId="4" fontId="42" fillId="0" borderId="9" xfId="60" applyNumberFormat="1" applyFont="1" applyFill="1" applyBorder="1" applyAlignment="1">
      <alignment horizontal="center" vertical="center" wrapText="1"/>
    </xf>
    <xf numFmtId="166" fontId="42" fillId="0" borderId="9" xfId="60" applyNumberFormat="1" applyFont="1" applyFill="1" applyBorder="1" applyAlignment="1">
      <alignment horizontal="right" vertical="center" wrapText="1"/>
    </xf>
    <xf numFmtId="0" fontId="42" fillId="0" borderId="9" xfId="60" applyFont="1" applyFill="1" applyBorder="1" applyAlignment="1">
      <alignment horizontal="left" vertical="center" wrapText="1"/>
    </xf>
    <xf numFmtId="0" fontId="42" fillId="0" borderId="9" xfId="60" applyFont="1" applyFill="1" applyBorder="1" applyAlignment="1">
      <alignment vertical="center" wrapText="1"/>
    </xf>
    <xf numFmtId="0" fontId="42" fillId="0" borderId="9" xfId="60" applyFont="1" applyFill="1" applyBorder="1"/>
    <xf numFmtId="0" fontId="42" fillId="0" borderId="9" xfId="60" applyFont="1" applyFill="1" applyBorder="1" applyAlignment="1">
      <alignment horizontal="right" vertical="center"/>
    </xf>
    <xf numFmtId="0" fontId="42" fillId="0" borderId="0" xfId="59" applyFont="1" applyFill="1" applyBorder="1"/>
    <xf numFmtId="4" fontId="42" fillId="0" borderId="0" xfId="59" applyNumberFormat="1" applyFont="1" applyFill="1" applyBorder="1" applyAlignment="1">
      <alignment horizontal="right"/>
    </xf>
    <xf numFmtId="4" fontId="43" fillId="0" borderId="0" xfId="59" applyNumberFormat="1" applyFont="1" applyFill="1" applyBorder="1" applyAlignment="1">
      <alignment horizontal="right"/>
    </xf>
    <xf numFmtId="0" fontId="42" fillId="0" borderId="0" xfId="59" applyFont="1" applyFill="1"/>
    <xf numFmtId="0" fontId="43" fillId="0" borderId="0" xfId="59" applyFont="1" applyFill="1" applyBorder="1"/>
    <xf numFmtId="0" fontId="43" fillId="0" borderId="0" xfId="59" applyFont="1" applyFill="1" applyBorder="1" applyAlignment="1">
      <alignment horizontal="right"/>
    </xf>
    <xf numFmtId="0" fontId="42" fillId="0" borderId="0" xfId="59" applyFont="1" applyFill="1" applyBorder="1" applyAlignment="1">
      <alignment horizontal="left" vertical="top" wrapText="1"/>
    </xf>
    <xf numFmtId="0" fontId="42" fillId="0" borderId="0" xfId="59" applyFont="1" applyFill="1" applyAlignment="1">
      <alignment horizontal="left" vertical="top" wrapText="1"/>
    </xf>
    <xf numFmtId="0" fontId="42" fillId="0" borderId="0" xfId="59" applyFont="1" applyFill="1" applyBorder="1" applyAlignment="1">
      <alignment horizontal="left"/>
    </xf>
    <xf numFmtId="4" fontId="43" fillId="0" borderId="0" xfId="59" applyNumberFormat="1" applyFont="1" applyFill="1" applyBorder="1" applyAlignment="1">
      <alignment horizontal="left"/>
    </xf>
    <xf numFmtId="0" fontId="42" fillId="0" borderId="0" xfId="59" applyFont="1" applyFill="1" applyAlignment="1">
      <alignment horizontal="left"/>
    </xf>
    <xf numFmtId="4" fontId="42" fillId="0" borderId="0" xfId="59" applyNumberFormat="1" applyFont="1" applyFill="1" applyAlignment="1">
      <alignment horizontal="right"/>
    </xf>
    <xf numFmtId="49" fontId="43" fillId="0" borderId="0" xfId="59" applyNumberFormat="1" applyFont="1" applyFill="1" applyBorder="1"/>
    <xf numFmtId="0" fontId="42" fillId="0" borderId="0" xfId="59" applyFont="1" applyFill="1" applyBorder="1" applyAlignment="1">
      <alignment horizontal="center" vertical="center"/>
    </xf>
    <xf numFmtId="4" fontId="42" fillId="0" borderId="0" xfId="59" applyNumberFormat="1" applyFont="1" applyFill="1" applyBorder="1"/>
    <xf numFmtId="0" fontId="43" fillId="0" borderId="0" xfId="59" applyFont="1" applyFill="1" applyBorder="1" applyAlignment="1">
      <alignment horizontal="center" vertical="center" wrapText="1"/>
    </xf>
    <xf numFmtId="4" fontId="43" fillId="0" borderId="0" xfId="59" applyNumberFormat="1" applyFont="1" applyFill="1" applyBorder="1" applyAlignment="1">
      <alignment horizontal="right" vertical="center" wrapText="1"/>
    </xf>
    <xf numFmtId="0" fontId="42" fillId="0" borderId="0" xfId="59" applyFont="1" applyFill="1" applyAlignment="1">
      <alignment horizontal="left" wrapText="1"/>
    </xf>
    <xf numFmtId="4" fontId="42" fillId="0" borderId="0" xfId="59" applyNumberFormat="1" applyFont="1" applyFill="1" applyBorder="1" applyAlignment="1">
      <alignment horizontal="right" vertical="top" wrapText="1"/>
    </xf>
    <xf numFmtId="4" fontId="42" fillId="0" borderId="0" xfId="59" applyNumberFormat="1" applyFont="1" applyFill="1" applyBorder="1" applyAlignment="1">
      <alignment horizontal="right" vertical="top"/>
    </xf>
    <xf numFmtId="4" fontId="42" fillId="0" borderId="0" xfId="59" applyNumberFormat="1" applyFont="1" applyFill="1" applyAlignment="1">
      <alignment horizontal="right" wrapText="1"/>
    </xf>
    <xf numFmtId="0" fontId="31" fillId="0" borderId="0" xfId="59" applyFont="1" applyFill="1" applyAlignment="1">
      <alignment horizontal="right"/>
    </xf>
    <xf numFmtId="0" fontId="43" fillId="0" borderId="9" xfId="59" applyFont="1" applyFill="1" applyBorder="1" applyAlignment="1">
      <alignment horizontal="left" vertical="center" wrapText="1"/>
    </xf>
    <xf numFmtId="16" fontId="43" fillId="0" borderId="9" xfId="59" applyNumberFormat="1" applyFont="1" applyFill="1" applyBorder="1" applyAlignment="1">
      <alignment horizontal="center" vertical="center" wrapText="1"/>
    </xf>
    <xf numFmtId="49" fontId="42" fillId="0" borderId="9" xfId="59" applyNumberFormat="1" applyFont="1" applyFill="1" applyBorder="1" applyAlignment="1">
      <alignment horizontal="left" vertical="center" wrapText="1"/>
    </xf>
    <xf numFmtId="0" fontId="42" fillId="0" borderId="9" xfId="59" applyFont="1" applyFill="1" applyBorder="1" applyAlignment="1">
      <alignment horizontal="left" vertical="center" wrapText="1"/>
    </xf>
    <xf numFmtId="0" fontId="43" fillId="0" borderId="9" xfId="59" applyFont="1" applyFill="1" applyBorder="1" applyAlignment="1">
      <alignment vertical="center" wrapText="1"/>
    </xf>
    <xf numFmtId="0" fontId="43" fillId="0" borderId="9" xfId="59" applyNumberFormat="1" applyFont="1" applyFill="1" applyBorder="1" applyAlignment="1">
      <alignment horizontal="center" vertical="center" wrapText="1"/>
    </xf>
    <xf numFmtId="0" fontId="43" fillId="0" borderId="9" xfId="64" applyFont="1" applyFill="1" applyBorder="1" applyAlignment="1">
      <alignment vertical="center" wrapText="1"/>
    </xf>
    <xf numFmtId="0" fontId="43" fillId="0" borderId="0" xfId="59" applyFont="1" applyFill="1"/>
    <xf numFmtId="0" fontId="42" fillId="0" borderId="9" xfId="0" applyFont="1" applyFill="1" applyBorder="1" applyAlignment="1">
      <alignment horizontal="left" vertical="center" wrapText="1"/>
    </xf>
    <xf numFmtId="0" fontId="31" fillId="0" borderId="0" xfId="59" applyFont="1" applyFill="1"/>
    <xf numFmtId="0" fontId="31" fillId="0" borderId="0" xfId="59" applyFont="1" applyFill="1" applyAlignment="1">
      <alignment horizontal="center" wrapText="1"/>
    </xf>
    <xf numFmtId="0" fontId="31" fillId="0" borderId="0" xfId="59" applyFont="1" applyFill="1" applyAlignment="1">
      <alignment horizontal="right" wrapText="1"/>
    </xf>
    <xf numFmtId="0" fontId="2" fillId="0" borderId="9" xfId="59" applyFont="1" applyFill="1" applyBorder="1" applyAlignment="1">
      <alignment vertical="center" wrapText="1"/>
    </xf>
    <xf numFmtId="2" fontId="2" fillId="0" borderId="9" xfId="59" applyNumberFormat="1" applyFont="1" applyFill="1" applyBorder="1" applyAlignment="1">
      <alignment horizontal="right" vertical="center" wrapText="1"/>
    </xf>
    <xf numFmtId="16" fontId="2" fillId="0" borderId="9" xfId="59" applyNumberFormat="1" applyFont="1" applyFill="1" applyBorder="1" applyAlignment="1">
      <alignment horizontal="center" vertical="center" wrapText="1"/>
    </xf>
    <xf numFmtId="49" fontId="2" fillId="0" borderId="9" xfId="59" applyNumberFormat="1" applyFont="1" applyFill="1" applyBorder="1" applyAlignment="1">
      <alignment vertical="center" wrapText="1"/>
    </xf>
    <xf numFmtId="174" fontId="2" fillId="0" borderId="9" xfId="59" applyNumberFormat="1" applyFont="1" applyFill="1" applyBorder="1" applyAlignment="1">
      <alignment horizontal="right" vertical="center" wrapText="1"/>
    </xf>
    <xf numFmtId="0" fontId="2" fillId="0" borderId="0" xfId="59" applyFont="1" applyFill="1"/>
    <xf numFmtId="0" fontId="2" fillId="0" borderId="9" xfId="59" applyFont="1" applyFill="1" applyBorder="1" applyAlignment="1">
      <alignment horizontal="left" vertical="center" wrapText="1"/>
    </xf>
    <xf numFmtId="173" fontId="2" fillId="0" borderId="9" xfId="59" applyNumberFormat="1" applyFont="1" applyFill="1" applyBorder="1" applyAlignment="1">
      <alignment horizontal="right" vertical="center" wrapText="1"/>
    </xf>
    <xf numFmtId="0" fontId="1" fillId="0" borderId="0" xfId="59" applyFont="1" applyFill="1" applyAlignment="1">
      <alignment horizontal="right"/>
    </xf>
    <xf numFmtId="0" fontId="32" fillId="0" borderId="0" xfId="59" applyNumberFormat="1" applyFont="1" applyFill="1"/>
    <xf numFmtId="4" fontId="31" fillId="0" borderId="0" xfId="59" applyNumberFormat="1" applyFont="1" applyFill="1" applyAlignment="1">
      <alignment horizontal="right"/>
    </xf>
    <xf numFmtId="2" fontId="33" fillId="0" borderId="0" xfId="59" applyNumberFormat="1" applyFont="1" applyFill="1" applyAlignment="1">
      <alignment horizontal="right" vertical="top" wrapText="1"/>
    </xf>
    <xf numFmtId="0" fontId="2" fillId="0" borderId="0" xfId="59" applyFont="1" applyFill="1" applyAlignment="1">
      <alignment horizontal="center"/>
    </xf>
    <xf numFmtId="0" fontId="2" fillId="0" borderId="9" xfId="59" applyNumberFormat="1" applyFont="1" applyFill="1" applyBorder="1" applyAlignment="1">
      <alignment horizontal="left" vertical="center" wrapText="1"/>
    </xf>
    <xf numFmtId="0" fontId="2" fillId="0" borderId="9" xfId="64" applyNumberFormat="1" applyFont="1" applyFill="1" applyBorder="1" applyAlignment="1">
      <alignment horizontal="left" vertical="center" wrapText="1"/>
    </xf>
    <xf numFmtId="0" fontId="2" fillId="0" borderId="9" xfId="64" applyFont="1" applyFill="1" applyBorder="1" applyAlignment="1">
      <alignment horizontal="center" vertical="center" wrapText="1"/>
    </xf>
    <xf numFmtId="166" fontId="2" fillId="0" borderId="9" xfId="64" applyNumberFormat="1" applyFont="1" applyFill="1" applyBorder="1" applyAlignment="1">
      <alignment horizontal="right" vertical="center" wrapText="1"/>
    </xf>
    <xf numFmtId="4" fontId="2" fillId="0" borderId="0" xfId="59" applyNumberFormat="1" applyFont="1" applyFill="1" applyBorder="1" applyAlignment="1">
      <alignment horizontal="right" vertical="center" wrapText="1"/>
    </xf>
    <xf numFmtId="173" fontId="2" fillId="0" borderId="9" xfId="59" applyNumberFormat="1" applyFont="1" applyFill="1" applyBorder="1" applyAlignment="1">
      <alignment horizontal="center" vertical="center" wrapText="1"/>
    </xf>
    <xf numFmtId="0" fontId="42" fillId="0" borderId="0" xfId="59" applyFont="1" applyFill="1" applyAlignment="1">
      <alignment horizontal="center" vertical="center"/>
    </xf>
    <xf numFmtId="0" fontId="42" fillId="0" borderId="0" xfId="59" applyFont="1" applyFill="1" applyAlignment="1">
      <alignment horizontal="center" vertical="center" wrapText="1"/>
    </xf>
    <xf numFmtId="0" fontId="42" fillId="0" borderId="0" xfId="59" applyFont="1" applyFill="1" applyBorder="1" applyAlignment="1">
      <alignment horizontal="center" vertical="center" wrapText="1"/>
    </xf>
    <xf numFmtId="2" fontId="42" fillId="0" borderId="9" xfId="59" applyNumberFormat="1" applyFont="1" applyFill="1" applyBorder="1" applyAlignment="1">
      <alignment horizontal="center" vertical="center" wrapText="1"/>
    </xf>
    <xf numFmtId="2" fontId="43" fillId="0" borderId="9" xfId="64" applyNumberFormat="1" applyFont="1" applyFill="1" applyBorder="1" applyAlignment="1">
      <alignment horizontal="center" vertical="center" wrapText="1"/>
    </xf>
    <xf numFmtId="0" fontId="2" fillId="0" borderId="9" xfId="59" applyNumberFormat="1" applyFont="1" applyFill="1" applyBorder="1" applyAlignment="1">
      <alignment horizontal="center" vertical="center"/>
    </xf>
    <xf numFmtId="0" fontId="2" fillId="0" borderId="0" xfId="59" applyFont="1" applyFill="1" applyAlignment="1">
      <alignment horizontal="center" vertical="center"/>
    </xf>
    <xf numFmtId="0" fontId="44" fillId="0" borderId="9" xfId="6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43" fillId="0" borderId="9" xfId="60" applyFont="1" applyFill="1" applyBorder="1" applyAlignment="1">
      <alignment horizontal="center" vertical="center" wrapText="1"/>
    </xf>
    <xf numFmtId="0" fontId="43" fillId="0" borderId="9" xfId="60" applyFont="1" applyFill="1" applyBorder="1" applyAlignment="1">
      <alignment horizontal="center" vertical="center"/>
    </xf>
    <xf numFmtId="2" fontId="43" fillId="0" borderId="9" xfId="59" applyNumberFormat="1" applyFont="1" applyFill="1" applyBorder="1" applyAlignment="1">
      <alignment horizontal="center" vertical="center" wrapText="1"/>
    </xf>
    <xf numFmtId="4" fontId="43" fillId="0" borderId="9" xfId="62" applyNumberFormat="1" applyFont="1" applyFill="1" applyBorder="1" applyAlignment="1" applyProtection="1">
      <alignment horizontal="center" vertical="center" wrapText="1"/>
    </xf>
    <xf numFmtId="0" fontId="42" fillId="0" borderId="9" xfId="59" applyFont="1" applyFill="1" applyBorder="1" applyAlignment="1">
      <alignment horizontal="center" vertical="center" wrapText="1"/>
    </xf>
    <xf numFmtId="0" fontId="34" fillId="0" borderId="0" xfId="59" applyFont="1" applyFill="1"/>
    <xf numFmtId="0" fontId="2" fillId="0" borderId="9" xfId="59" applyFont="1" applyFill="1" applyBorder="1" applyAlignment="1">
      <alignment horizontal="center" vertical="distributed"/>
    </xf>
    <xf numFmtId="175" fontId="2" fillId="0" borderId="9" xfId="59" applyNumberFormat="1" applyFont="1" applyFill="1" applyBorder="1" applyAlignment="1">
      <alignment horizontal="right" vertical="center" wrapText="1"/>
    </xf>
    <xf numFmtId="4" fontId="2" fillId="0" borderId="9" xfId="59" applyNumberFormat="1" applyFont="1" applyFill="1" applyBorder="1" applyAlignment="1">
      <alignment horizontal="center" vertical="center" wrapText="1"/>
    </xf>
    <xf numFmtId="169" fontId="2" fillId="0" borderId="9" xfId="59" applyNumberFormat="1" applyFont="1" applyFill="1" applyBorder="1" applyAlignment="1">
      <alignment horizontal="right" vertical="center" wrapText="1"/>
    </xf>
    <xf numFmtId="4" fontId="2" fillId="0" borderId="9" xfId="59" applyNumberFormat="1" applyFont="1" applyFill="1" applyBorder="1" applyAlignment="1">
      <alignment horizontal="right" vertical="center" wrapText="1"/>
    </xf>
    <xf numFmtId="0" fontId="34" fillId="0" borderId="9" xfId="59" applyFont="1" applyFill="1" applyBorder="1" applyAlignment="1">
      <alignment horizontal="center" wrapText="1"/>
    </xf>
    <xf numFmtId="2" fontId="34" fillId="0" borderId="9" xfId="59" applyNumberFormat="1" applyFont="1" applyFill="1" applyBorder="1" applyAlignment="1">
      <alignment horizontal="right" vertical="center" wrapText="1"/>
    </xf>
    <xf numFmtId="0" fontId="34" fillId="0" borderId="9" xfId="59" applyFont="1" applyFill="1" applyBorder="1" applyAlignment="1">
      <alignment horizontal="center"/>
    </xf>
    <xf numFmtId="166" fontId="34" fillId="0" borderId="9" xfId="59" applyNumberFormat="1" applyFont="1" applyFill="1" applyBorder="1" applyAlignment="1">
      <alignment horizontal="right" wrapText="1"/>
    </xf>
    <xf numFmtId="169" fontId="34" fillId="0" borderId="9" xfId="59" applyNumberFormat="1" applyFont="1" applyFill="1" applyBorder="1" applyAlignment="1">
      <alignment horizontal="right" wrapText="1"/>
    </xf>
    <xf numFmtId="175" fontId="34" fillId="0" borderId="9" xfId="59" applyNumberFormat="1" applyFont="1" applyFill="1" applyBorder="1" applyAlignment="1">
      <alignment horizontal="right" vertical="center" wrapText="1"/>
    </xf>
    <xf numFmtId="166" fontId="34" fillId="0" borderId="9" xfId="59" applyNumberFormat="1" applyFont="1" applyFill="1" applyBorder="1" applyAlignment="1">
      <alignment horizontal="right" vertical="center" wrapText="1"/>
    </xf>
    <xf numFmtId="169" fontId="34" fillId="0" borderId="9" xfId="59" applyNumberFormat="1" applyFont="1" applyFill="1" applyBorder="1" applyAlignment="1">
      <alignment horizontal="right" vertical="center" wrapText="1"/>
    </xf>
    <xf numFmtId="0" fontId="34" fillId="0" borderId="0" xfId="59" applyFont="1" applyFill="1" applyAlignment="1">
      <alignment horizontal="center"/>
    </xf>
    <xf numFmtId="0" fontId="34" fillId="0" borderId="0" xfId="59" applyFont="1" applyFill="1" applyAlignment="1">
      <alignment horizontal="right"/>
    </xf>
    <xf numFmtId="0" fontId="34" fillId="0" borderId="0" xfId="59" applyFont="1" applyFill="1" applyAlignment="1">
      <alignment horizontal="center" wrapText="1"/>
    </xf>
    <xf numFmtId="0" fontId="34" fillId="0" borderId="0" xfId="59" applyFont="1" applyFill="1" applyAlignment="1">
      <alignment horizontal="right" wrapText="1"/>
    </xf>
    <xf numFmtId="169" fontId="34" fillId="0" borderId="0" xfId="59" applyNumberFormat="1" applyFont="1" applyFill="1" applyAlignment="1">
      <alignment horizontal="center"/>
    </xf>
    <xf numFmtId="2" fontId="31" fillId="0" borderId="9" xfId="59" applyNumberFormat="1" applyFont="1" applyFill="1" applyBorder="1" applyAlignment="1">
      <alignment horizontal="center"/>
    </xf>
    <xf numFmtId="2" fontId="2" fillId="0" borderId="9" xfId="59" applyNumberFormat="1" applyFont="1" applyFill="1" applyBorder="1" applyAlignment="1">
      <alignment horizontal="center" vertical="center" wrapText="1"/>
    </xf>
    <xf numFmtId="166" fontId="2" fillId="0" borderId="9" xfId="59" applyNumberFormat="1" applyFont="1" applyFill="1" applyBorder="1" applyAlignment="1">
      <alignment horizontal="right" vertical="center" wrapText="1"/>
    </xf>
    <xf numFmtId="0" fontId="31" fillId="0" borderId="0" xfId="59" applyFont="1" applyFill="1" applyAlignment="1">
      <alignment vertical="center"/>
    </xf>
    <xf numFmtId="0" fontId="34" fillId="0" borderId="0" xfId="59" applyNumberFormat="1" applyFont="1" applyFill="1"/>
    <xf numFmtId="166" fontId="2" fillId="0" borderId="9" xfId="59" applyNumberFormat="1" applyFont="1" applyFill="1" applyBorder="1" applyAlignment="1">
      <alignment horizontal="center" vertical="center" wrapText="1"/>
    </xf>
    <xf numFmtId="0" fontId="34" fillId="0" borderId="9" xfId="59" applyNumberFormat="1" applyFont="1" applyFill="1" applyBorder="1" applyAlignment="1">
      <alignment horizontal="left" vertical="center" wrapText="1"/>
    </xf>
    <xf numFmtId="166" fontId="34" fillId="0" borderId="9" xfId="58" applyNumberFormat="1" applyFont="1" applyFill="1" applyBorder="1" applyAlignment="1">
      <alignment horizontal="center" vertical="center"/>
    </xf>
    <xf numFmtId="166" fontId="34" fillId="0" borderId="9" xfId="58" applyNumberFormat="1" applyFont="1" applyFill="1" applyBorder="1" applyAlignment="1">
      <alignment horizontal="right" vertical="center"/>
    </xf>
    <xf numFmtId="166" fontId="2" fillId="0" borderId="9" xfId="58" applyNumberFormat="1" applyFont="1" applyFill="1" applyBorder="1" applyAlignment="1">
      <alignment horizontal="center" vertical="center"/>
    </xf>
    <xf numFmtId="0" fontId="34" fillId="0" borderId="9" xfId="59" applyFont="1" applyFill="1" applyBorder="1"/>
    <xf numFmtId="166" fontId="34" fillId="0" borderId="9" xfId="59" applyNumberFormat="1" applyFont="1" applyFill="1" applyBorder="1"/>
    <xf numFmtId="166" fontId="2" fillId="0" borderId="9" xfId="58" applyNumberFormat="1" applyFont="1" applyFill="1" applyBorder="1" applyAlignment="1">
      <alignment horizontal="right" vertical="center" wrapText="1"/>
    </xf>
    <xf numFmtId="0" fontId="34" fillId="0" borderId="0" xfId="59" applyFont="1" applyFill="1" applyBorder="1"/>
    <xf numFmtId="0" fontId="34" fillId="0" borderId="0" xfId="59" applyFont="1" applyFill="1" applyBorder="1" applyAlignment="1">
      <alignment horizontal="center" vertical="center" wrapText="1"/>
    </xf>
    <xf numFmtId="0" fontId="2" fillId="0" borderId="0" xfId="58" applyFont="1" applyFill="1" applyBorder="1" applyAlignment="1">
      <alignment horizontal="center" vertical="center"/>
    </xf>
    <xf numFmtId="166" fontId="43" fillId="0" borderId="9" xfId="60" applyNumberFormat="1" applyFont="1" applyFill="1" applyBorder="1" applyAlignment="1">
      <alignment horizontal="right" vertical="center" wrapText="1"/>
    </xf>
    <xf numFmtId="4" fontId="43" fillId="0" borderId="9" xfId="60" applyNumberFormat="1" applyFont="1" applyFill="1" applyBorder="1" applyAlignment="1">
      <alignment horizontal="center" vertical="center" wrapText="1"/>
    </xf>
    <xf numFmtId="4" fontId="43" fillId="0" borderId="9" xfId="60" applyNumberFormat="1" applyFont="1" applyFill="1" applyBorder="1" applyAlignment="1">
      <alignment horizontal="right" vertical="center" wrapText="1"/>
    </xf>
    <xf numFmtId="166" fontId="43" fillId="0" borderId="9" xfId="60" applyNumberFormat="1" applyFont="1" applyFill="1" applyBorder="1" applyAlignment="1">
      <alignment vertical="center" wrapText="1"/>
    </xf>
    <xf numFmtId="4" fontId="42" fillId="0" borderId="9" xfId="60" applyNumberFormat="1" applyFont="1" applyFill="1" applyBorder="1" applyAlignment="1">
      <alignment horizontal="right" vertical="center" wrapText="1"/>
    </xf>
    <xf numFmtId="16" fontId="43" fillId="0" borderId="9" xfId="60" applyNumberFormat="1" applyFont="1" applyFill="1" applyBorder="1" applyAlignment="1">
      <alignment horizontal="center" vertical="center" wrapText="1"/>
    </xf>
    <xf numFmtId="0" fontId="43" fillId="0" borderId="9" xfId="60" applyFont="1" applyFill="1" applyBorder="1" applyAlignment="1">
      <alignment horizontal="right" vertical="center"/>
    </xf>
    <xf numFmtId="0" fontId="42" fillId="0" borderId="9" xfId="0" applyFont="1" applyFill="1" applyBorder="1" applyAlignment="1">
      <alignment horizontal="center" vertical="center" wrapText="1"/>
    </xf>
    <xf numFmtId="166" fontId="42" fillId="0" borderId="9" xfId="0" applyNumberFormat="1" applyFont="1" applyFill="1" applyBorder="1" applyAlignment="1">
      <alignment horizontal="right" vertical="center" wrapText="1"/>
    </xf>
    <xf numFmtId="0" fontId="43" fillId="0" borderId="9" xfId="0" applyFont="1" applyFill="1" applyBorder="1" applyAlignment="1">
      <alignment vertical="center" wrapText="1"/>
    </xf>
    <xf numFmtId="166" fontId="43" fillId="0" borderId="9" xfId="0" applyNumberFormat="1" applyFont="1" applyFill="1" applyBorder="1" applyAlignment="1">
      <alignment horizontal="right" vertical="center" wrapText="1"/>
    </xf>
    <xf numFmtId="16" fontId="43" fillId="0" borderId="9" xfId="0" applyNumberFormat="1" applyFont="1" applyFill="1" applyBorder="1" applyAlignment="1">
      <alignment horizontal="center" vertical="center" wrapText="1"/>
    </xf>
    <xf numFmtId="0" fontId="43" fillId="0" borderId="9" xfId="0" applyFont="1" applyFill="1" applyBorder="1" applyAlignment="1">
      <alignment horizontal="left" vertical="center" wrapText="1"/>
    </xf>
    <xf numFmtId="0" fontId="43" fillId="0" borderId="9" xfId="0" applyNumberFormat="1" applyFont="1" applyFill="1" applyBorder="1" applyAlignment="1">
      <alignment horizontal="center" vertical="center" wrapText="1"/>
    </xf>
    <xf numFmtId="166" fontId="43" fillId="0" borderId="9" xfId="64" applyNumberFormat="1" applyFont="1" applyFill="1" applyBorder="1" applyAlignment="1">
      <alignment horizontal="right" vertical="center" wrapText="1"/>
    </xf>
    <xf numFmtId="0" fontId="42" fillId="0" borderId="9" xfId="63" applyFont="1" applyFill="1" applyBorder="1" applyAlignment="1">
      <alignment horizontal="left" vertical="center" wrapText="1"/>
    </xf>
    <xf numFmtId="4" fontId="43" fillId="0" borderId="9" xfId="0" applyNumberFormat="1" applyFont="1" applyFill="1" applyBorder="1" applyAlignment="1">
      <alignment horizontal="right" vertical="center" wrapText="1"/>
    </xf>
    <xf numFmtId="0" fontId="42" fillId="0" borderId="0" xfId="60" applyFont="1" applyFill="1"/>
    <xf numFmtId="0" fontId="42" fillId="0" borderId="0" xfId="60" applyFont="1" applyFill="1" applyAlignment="1">
      <alignment vertical="center"/>
    </xf>
    <xf numFmtId="0" fontId="42" fillId="0" borderId="0" xfId="60" applyFont="1" applyFill="1" applyAlignment="1">
      <alignment horizontal="center" vertical="center"/>
    </xf>
    <xf numFmtId="0" fontId="42" fillId="0" borderId="0" xfId="60" applyFont="1" applyFill="1" applyAlignment="1">
      <alignment horizontal="right" vertical="center"/>
    </xf>
    <xf numFmtId="0" fontId="43" fillId="0" borderId="9" xfId="60" applyFont="1" applyFill="1" applyBorder="1" applyAlignment="1">
      <alignment horizontal="center" vertical="center"/>
    </xf>
    <xf numFmtId="0" fontId="43" fillId="0" borderId="9" xfId="60" applyFont="1" applyFill="1" applyBorder="1" applyAlignment="1">
      <alignment horizontal="center" vertical="center" wrapText="1"/>
    </xf>
    <xf numFmtId="0" fontId="42" fillId="0" borderId="0" xfId="60" applyFont="1" applyFill="1" applyAlignment="1">
      <alignment horizontal="center"/>
    </xf>
    <xf numFmtId="4" fontId="43" fillId="0" borderId="9" xfId="60" applyNumberFormat="1" applyFont="1" applyFill="1" applyBorder="1" applyAlignment="1">
      <alignment horizontal="center" vertical="center" wrapText="1"/>
    </xf>
    <xf numFmtId="169" fontId="43" fillId="0" borderId="9" xfId="60" applyNumberFormat="1" applyFont="1" applyFill="1" applyBorder="1" applyAlignment="1">
      <alignment horizontal="center" vertical="center" wrapText="1"/>
    </xf>
    <xf numFmtId="166" fontId="42" fillId="0" borderId="9" xfId="58" applyNumberFormat="1" applyFont="1" applyFill="1" applyBorder="1" applyAlignment="1">
      <alignment horizontal="right" vertical="center"/>
    </xf>
    <xf numFmtId="0" fontId="43" fillId="0" borderId="9" xfId="60" applyFont="1" applyFill="1" applyBorder="1" applyAlignment="1">
      <alignment vertical="center"/>
    </xf>
    <xf numFmtId="0" fontId="42" fillId="0" borderId="9" xfId="60" applyFont="1" applyFill="1" applyBorder="1" applyAlignment="1">
      <alignment vertical="center"/>
    </xf>
    <xf numFmtId="0" fontId="42" fillId="0" borderId="9" xfId="60" applyFont="1" applyFill="1" applyBorder="1" applyAlignment="1">
      <alignment horizontal="center" vertical="center"/>
    </xf>
    <xf numFmtId="166" fontId="43" fillId="0" borderId="9" xfId="60" applyNumberFormat="1" applyFont="1" applyFill="1" applyBorder="1" applyAlignment="1">
      <alignment horizontal="right" vertical="center"/>
    </xf>
    <xf numFmtId="166" fontId="43" fillId="0" borderId="9" xfId="60" applyNumberFormat="1" applyFont="1" applyFill="1" applyBorder="1" applyAlignment="1">
      <alignment vertical="center"/>
    </xf>
    <xf numFmtId="166" fontId="43" fillId="0" borderId="9" xfId="58" applyNumberFormat="1" applyFont="1" applyFill="1" applyBorder="1" applyAlignment="1">
      <alignment horizontal="right" vertical="center"/>
    </xf>
    <xf numFmtId="0" fontId="43" fillId="0" borderId="0" xfId="60" applyFont="1" applyFill="1" applyBorder="1" applyAlignment="1">
      <alignment horizontal="center" vertical="center"/>
    </xf>
    <xf numFmtId="0" fontId="43" fillId="0" borderId="0" xfId="60" applyFont="1" applyFill="1" applyBorder="1" applyAlignment="1">
      <alignment horizontal="right" vertical="center"/>
    </xf>
    <xf numFmtId="2" fontId="1" fillId="0" borderId="0" xfId="59" applyNumberFormat="1" applyFont="1" applyFill="1" applyAlignment="1">
      <alignment horizontal="right" vertical="top" wrapText="1"/>
    </xf>
    <xf numFmtId="0" fontId="1" fillId="0" borderId="0" xfId="59" applyFont="1" applyFill="1" applyBorder="1" applyAlignment="1"/>
    <xf numFmtId="0" fontId="2" fillId="0" borderId="9" xfId="59" applyNumberFormat="1" applyFont="1" applyFill="1" applyBorder="1" applyAlignment="1">
      <alignment horizontal="center" vertical="top" wrapText="1"/>
    </xf>
    <xf numFmtId="49" fontId="2" fillId="0" borderId="9" xfId="59" applyNumberFormat="1" applyFont="1" applyFill="1" applyBorder="1" applyAlignment="1">
      <alignment horizontal="left" vertical="center" wrapText="1"/>
    </xf>
    <xf numFmtId="49" fontId="2" fillId="0" borderId="9" xfId="59" applyNumberFormat="1" applyFont="1" applyFill="1" applyBorder="1" applyAlignment="1">
      <alignment horizontal="center" vertical="top" wrapText="1"/>
    </xf>
    <xf numFmtId="49" fontId="1" fillId="0" borderId="9" xfId="59" applyNumberFormat="1" applyFont="1" applyFill="1" applyBorder="1" applyAlignment="1">
      <alignment horizontal="justify" vertical="top" wrapText="1"/>
    </xf>
    <xf numFmtId="49" fontId="1" fillId="0" borderId="9" xfId="59" applyNumberFormat="1" applyFont="1" applyFill="1" applyBorder="1" applyAlignment="1">
      <alignment horizontal="left" vertical="center" wrapText="1"/>
    </xf>
    <xf numFmtId="0" fontId="1" fillId="0" borderId="0" xfId="0" applyFont="1" applyAlignment="1">
      <alignment horizontal="left"/>
    </xf>
    <xf numFmtId="0" fontId="2" fillId="0" borderId="9" xfId="0" applyNumberFormat="1" applyFont="1" applyBorder="1" applyAlignment="1">
      <alignment horizontal="center" vertical="top" wrapText="1"/>
    </xf>
    <xf numFmtId="0" fontId="2" fillId="0" borderId="9" xfId="0" applyFont="1" applyBorder="1" applyAlignment="1">
      <alignment vertical="top" wrapText="1"/>
    </xf>
    <xf numFmtId="0" fontId="1" fillId="0" borderId="9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top" wrapText="1"/>
    </xf>
    <xf numFmtId="0" fontId="2" fillId="0" borderId="9" xfId="0" applyFont="1" applyBorder="1" applyAlignment="1">
      <alignment horizontal="center" wrapText="1"/>
    </xf>
    <xf numFmtId="172" fontId="2" fillId="0" borderId="9" xfId="59" applyNumberFormat="1" applyFont="1" applyFill="1" applyBorder="1" applyAlignment="1">
      <alignment horizontal="right" vertical="center"/>
    </xf>
    <xf numFmtId="172" fontId="2" fillId="0" borderId="14" xfId="59" applyNumberFormat="1" applyFont="1" applyFill="1" applyBorder="1" applyAlignment="1">
      <alignment horizontal="right" vertical="center"/>
    </xf>
    <xf numFmtId="172" fontId="2" fillId="0" borderId="21" xfId="59" applyNumberFormat="1" applyFont="1" applyFill="1" applyBorder="1" applyAlignment="1">
      <alignment horizontal="right" vertical="center"/>
    </xf>
    <xf numFmtId="172" fontId="2" fillId="0" borderId="22" xfId="59" applyNumberFormat="1" applyFont="1" applyFill="1" applyBorder="1" applyAlignment="1">
      <alignment horizontal="right" vertical="center"/>
    </xf>
    <xf numFmtId="0" fontId="2" fillId="0" borderId="16" xfId="59" applyFont="1" applyFill="1" applyBorder="1" applyAlignment="1">
      <alignment horizontal="center" vertical="center"/>
    </xf>
    <xf numFmtId="0" fontId="2" fillId="0" borderId="20" xfId="59" applyFont="1" applyFill="1" applyBorder="1" applyAlignment="1">
      <alignment horizontal="center" vertical="center"/>
    </xf>
    <xf numFmtId="0" fontId="2" fillId="0" borderId="18" xfId="59" applyFont="1" applyFill="1" applyBorder="1" applyAlignment="1">
      <alignment horizontal="center" vertical="center"/>
    </xf>
    <xf numFmtId="4" fontId="42" fillId="0" borderId="0" xfId="59" applyNumberFormat="1" applyFont="1" applyFill="1" applyBorder="1" applyAlignment="1">
      <alignment horizontal="left"/>
    </xf>
    <xf numFmtId="0" fontId="42" fillId="0" borderId="0" xfId="59" applyFont="1" applyFill="1" applyAlignment="1">
      <alignment wrapText="1"/>
    </xf>
    <xf numFmtId="4" fontId="43" fillId="0" borderId="0" xfId="59" applyNumberFormat="1" applyFont="1" applyFill="1" applyBorder="1" applyAlignment="1">
      <alignment horizontal="center" vertical="center"/>
    </xf>
    <xf numFmtId="166" fontId="42" fillId="0" borderId="0" xfId="59" applyNumberFormat="1" applyFont="1" applyFill="1" applyBorder="1" applyAlignment="1">
      <alignment horizontal="right" vertical="center"/>
    </xf>
    <xf numFmtId="0" fontId="1" fillId="0" borderId="0" xfId="59" applyFont="1" applyAlignment="1">
      <alignment horizontal="right"/>
    </xf>
    <xf numFmtId="0" fontId="1" fillId="0" borderId="0" xfId="0" applyFont="1" applyAlignment="1">
      <alignment horizontal="center" wrapText="1"/>
    </xf>
    <xf numFmtId="2" fontId="1" fillId="0" borderId="0" xfId="0" applyNumberFormat="1" applyFont="1" applyAlignment="1">
      <alignment horizontal="right" vertical="top"/>
    </xf>
    <xf numFmtId="0" fontId="28" fillId="0" borderId="9" xfId="0" applyFont="1" applyBorder="1"/>
    <xf numFmtId="0" fontId="28" fillId="0" borderId="9" xfId="0" applyFont="1" applyBorder="1" applyAlignment="1">
      <alignment horizontal="left" indent="3"/>
    </xf>
    <xf numFmtId="172" fontId="28" fillId="0" borderId="9" xfId="0" applyNumberFormat="1" applyFont="1" applyBorder="1" applyAlignment="1">
      <alignment horizontal="right"/>
    </xf>
    <xf numFmtId="0" fontId="28" fillId="0" borderId="9" xfId="0" applyFont="1" applyBorder="1" applyAlignment="1">
      <alignment horizontal="left" indent="1"/>
    </xf>
    <xf numFmtId="172" fontId="28" fillId="0" borderId="9" xfId="0" applyNumberFormat="1" applyFont="1" applyBorder="1" applyAlignment="1"/>
    <xf numFmtId="0" fontId="28" fillId="0" borderId="9" xfId="0" applyFont="1" applyBorder="1" applyAlignment="1">
      <alignment horizontal="left" indent="2"/>
    </xf>
    <xf numFmtId="0" fontId="1" fillId="0" borderId="0" xfId="59" applyFont="1"/>
    <xf numFmtId="0" fontId="2" fillId="0" borderId="0" xfId="59" applyFont="1" applyAlignment="1">
      <alignment horizontal="center" wrapText="1"/>
    </xf>
    <xf numFmtId="0" fontId="1" fillId="0" borderId="0" xfId="59" applyFont="1" applyAlignment="1">
      <alignment horizontal="left"/>
    </xf>
    <xf numFmtId="2" fontId="1" fillId="0" borderId="0" xfId="59" applyNumberFormat="1" applyFont="1" applyAlignment="1">
      <alignment horizontal="right" vertical="top"/>
    </xf>
    <xf numFmtId="0" fontId="2" fillId="0" borderId="0" xfId="59" applyFont="1"/>
    <xf numFmtId="0" fontId="2" fillId="0" borderId="0" xfId="59" applyFont="1" applyBorder="1" applyAlignment="1">
      <alignment horizontal="center" vertical="center" wrapText="1"/>
    </xf>
    <xf numFmtId="172" fontId="1" fillId="0" borderId="0" xfId="59" applyNumberFormat="1" applyFont="1"/>
    <xf numFmtId="172" fontId="1" fillId="0" borderId="0" xfId="59" applyNumberFormat="1" applyFont="1" applyFill="1" applyBorder="1"/>
    <xf numFmtId="0" fontId="1" fillId="0" borderId="9" xfId="59" applyFont="1" applyFill="1" applyBorder="1" applyAlignment="1">
      <alignment horizontal="left" vertical="center" wrapText="1"/>
    </xf>
    <xf numFmtId="0" fontId="1" fillId="0" borderId="9" xfId="59" applyFont="1" applyFill="1" applyBorder="1" applyAlignment="1">
      <alignment horizontal="right" vertical="center" wrapText="1"/>
    </xf>
    <xf numFmtId="0" fontId="1" fillId="0" borderId="0" xfId="59" applyFont="1" applyFill="1" applyBorder="1" applyAlignment="1">
      <alignment horizontal="left" vertical="center" wrapText="1" indent="4"/>
    </xf>
    <xf numFmtId="0" fontId="1" fillId="0" borderId="0" xfId="59" applyFont="1" applyFill="1" applyBorder="1" applyAlignment="1">
      <alignment horizontal="left" vertical="center"/>
    </xf>
    <xf numFmtId="0" fontId="1" fillId="0" borderId="0" xfId="59" applyFont="1" applyBorder="1"/>
    <xf numFmtId="1" fontId="2" fillId="0" borderId="0" xfId="59" applyNumberFormat="1" applyFont="1" applyAlignment="1">
      <alignment horizontal="left" vertical="top"/>
    </xf>
    <xf numFmtId="2" fontId="1" fillId="0" borderId="0" xfId="59" applyNumberFormat="1" applyFont="1" applyAlignment="1">
      <alignment vertical="top"/>
    </xf>
    <xf numFmtId="49" fontId="1" fillId="0" borderId="0" xfId="59" applyNumberFormat="1" applyFont="1" applyAlignment="1">
      <alignment horizontal="left" vertical="top" wrapText="1"/>
    </xf>
    <xf numFmtId="2" fontId="1" fillId="0" borderId="0" xfId="59" applyNumberFormat="1" applyFont="1" applyAlignment="1">
      <alignment horizontal="center" vertical="top" wrapText="1"/>
    </xf>
    <xf numFmtId="0" fontId="2" fillId="0" borderId="40" xfId="59" applyFont="1" applyFill="1" applyBorder="1" applyAlignment="1">
      <alignment horizontal="center" vertical="center"/>
    </xf>
    <xf numFmtId="172" fontId="2" fillId="0" borderId="41" xfId="59" applyNumberFormat="1" applyFont="1" applyFill="1" applyBorder="1" applyAlignment="1">
      <alignment horizontal="right" vertical="center"/>
    </xf>
    <xf numFmtId="172" fontId="2" fillId="0" borderId="42" xfId="59" applyNumberFormat="1" applyFont="1" applyFill="1" applyBorder="1" applyAlignment="1">
      <alignment horizontal="right" vertical="center"/>
    </xf>
    <xf numFmtId="0" fontId="1" fillId="0" borderId="16" xfId="59" applyFont="1" applyFill="1" applyBorder="1" applyAlignment="1">
      <alignment horizontal="center" vertical="center"/>
    </xf>
    <xf numFmtId="0" fontId="1" fillId="0" borderId="20" xfId="59" applyFont="1" applyFill="1" applyBorder="1" applyAlignment="1">
      <alignment horizontal="center" vertical="center"/>
    </xf>
    <xf numFmtId="172" fontId="2" fillId="0" borderId="19" xfId="59" applyNumberFormat="1" applyFont="1" applyFill="1" applyBorder="1" applyAlignment="1">
      <alignment horizontal="right" vertical="center"/>
    </xf>
    <xf numFmtId="172" fontId="2" fillId="0" borderId="23" xfId="59" applyNumberFormat="1" applyFont="1" applyFill="1" applyBorder="1" applyAlignment="1">
      <alignment horizontal="right" vertical="center"/>
    </xf>
    <xf numFmtId="172" fontId="1" fillId="0" borderId="9" xfId="59" applyNumberFormat="1" applyFont="1" applyFill="1" applyBorder="1" applyAlignment="1">
      <alignment horizontal="right" vertical="center"/>
    </xf>
    <xf numFmtId="172" fontId="1" fillId="0" borderId="14" xfId="59" applyNumberFormat="1" applyFont="1" applyFill="1" applyBorder="1" applyAlignment="1">
      <alignment horizontal="right" vertical="center"/>
    </xf>
    <xf numFmtId="172" fontId="1" fillId="0" borderId="21" xfId="59" applyNumberFormat="1" applyFont="1" applyFill="1" applyBorder="1" applyAlignment="1">
      <alignment horizontal="right" vertical="center"/>
    </xf>
    <xf numFmtId="172" fontId="1" fillId="0" borderId="22" xfId="59" applyNumberFormat="1" applyFont="1" applyFill="1" applyBorder="1" applyAlignment="1">
      <alignment horizontal="right" vertical="center"/>
    </xf>
    <xf numFmtId="0" fontId="2" fillId="0" borderId="46" xfId="59" applyFont="1" applyFill="1" applyBorder="1" applyAlignment="1">
      <alignment horizontal="center" vertical="center"/>
    </xf>
    <xf numFmtId="0" fontId="2" fillId="0" borderId="50" xfId="59" applyFont="1" applyFill="1" applyBorder="1" applyAlignment="1">
      <alignment horizontal="center" vertical="center"/>
    </xf>
    <xf numFmtId="172" fontId="2" fillId="0" borderId="51" xfId="59" applyNumberFormat="1" applyFont="1" applyFill="1" applyBorder="1" applyAlignment="1">
      <alignment horizontal="right" vertical="center"/>
    </xf>
    <xf numFmtId="172" fontId="2" fillId="0" borderId="53" xfId="59" applyNumberFormat="1" applyFont="1" applyFill="1" applyBorder="1" applyAlignment="1">
      <alignment horizontal="right" vertical="center"/>
    </xf>
    <xf numFmtId="16" fontId="1" fillId="0" borderId="16" xfId="59" applyNumberFormat="1" applyFont="1" applyFill="1" applyBorder="1" applyAlignment="1">
      <alignment horizontal="center" vertical="center"/>
    </xf>
    <xf numFmtId="0" fontId="1" fillId="0" borderId="0" xfId="59" applyFont="1" applyFill="1" applyAlignment="1">
      <alignment vertical="center"/>
    </xf>
    <xf numFmtId="172" fontId="1" fillId="0" borderId="41" xfId="59" applyNumberFormat="1" applyFont="1" applyFill="1" applyBorder="1" applyAlignment="1">
      <alignment horizontal="right" vertical="center"/>
    </xf>
    <xf numFmtId="0" fontId="2" fillId="0" borderId="8" xfId="59" applyFont="1" applyFill="1" applyBorder="1" applyAlignment="1">
      <alignment horizontal="center" vertical="center"/>
    </xf>
    <xf numFmtId="0" fontId="2" fillId="0" borderId="52" xfId="59" applyFont="1" applyFill="1" applyBorder="1" applyAlignment="1">
      <alignment horizontal="justify" vertical="center" wrapText="1"/>
    </xf>
    <xf numFmtId="0" fontId="2" fillId="0" borderId="45" xfId="59" applyFont="1" applyFill="1" applyBorder="1" applyAlignment="1">
      <alignment horizontal="justify" vertical="center" wrapText="1"/>
    </xf>
    <xf numFmtId="0" fontId="1" fillId="0" borderId="56" xfId="59" applyFont="1" applyFill="1" applyBorder="1" applyAlignment="1">
      <alignment horizontal="center" vertical="center"/>
    </xf>
    <xf numFmtId="0" fontId="1" fillId="0" borderId="57" xfId="59" applyFont="1" applyFill="1" applyBorder="1" applyAlignment="1">
      <alignment horizontal="justify" vertical="center" wrapText="1"/>
    </xf>
    <xf numFmtId="0" fontId="1" fillId="0" borderId="40" xfId="59" applyFont="1" applyFill="1" applyBorder="1" applyAlignment="1">
      <alignment horizontal="center" vertical="center"/>
    </xf>
    <xf numFmtId="166" fontId="39" fillId="0" borderId="9" xfId="59" applyNumberFormat="1" applyFont="1" applyBorder="1" applyAlignment="1">
      <alignment vertical="center"/>
    </xf>
    <xf numFmtId="166" fontId="39" fillId="0" borderId="21" xfId="59" applyNumberFormat="1" applyFont="1" applyBorder="1" applyAlignment="1">
      <alignment vertical="center"/>
    </xf>
    <xf numFmtId="0" fontId="23" fillId="0" borderId="24" xfId="59" applyFont="1" applyFill="1" applyBorder="1" applyAlignment="1">
      <alignment horizontal="center" vertical="center"/>
    </xf>
    <xf numFmtId="0" fontId="23" fillId="0" borderId="28" xfId="59" applyFont="1" applyFill="1" applyBorder="1" applyAlignment="1">
      <alignment horizontal="center" vertical="center"/>
    </xf>
    <xf numFmtId="0" fontId="1" fillId="0" borderId="9" xfId="59" applyFont="1" applyFill="1" applyBorder="1" applyAlignment="1">
      <alignment horizontal="center" vertical="center"/>
    </xf>
    <xf numFmtId="4" fontId="59" fillId="0" borderId="0" xfId="59" applyNumberFormat="1" applyFont="1" applyFill="1" applyAlignment="1">
      <alignment horizontal="right"/>
    </xf>
    <xf numFmtId="0" fontId="34" fillId="0" borderId="9" xfId="59" applyNumberFormat="1" applyFont="1" applyFill="1" applyBorder="1" applyAlignment="1">
      <alignment vertical="center" wrapText="1"/>
    </xf>
    <xf numFmtId="1" fontId="31" fillId="0" borderId="0" xfId="59" applyNumberFormat="1" applyFont="1" applyFill="1" applyAlignment="1">
      <alignment horizontal="center" wrapText="1"/>
    </xf>
    <xf numFmtId="1" fontId="34" fillId="0" borderId="9" xfId="59" applyNumberFormat="1" applyFont="1" applyFill="1" applyBorder="1" applyAlignment="1">
      <alignment horizontal="center" vertical="center" wrapText="1"/>
    </xf>
    <xf numFmtId="1" fontId="2" fillId="0" borderId="9" xfId="59" applyNumberFormat="1" applyFont="1" applyFill="1" applyBorder="1" applyAlignment="1">
      <alignment horizontal="right" vertical="center" wrapText="1"/>
    </xf>
    <xf numFmtId="1" fontId="34" fillId="0" borderId="9" xfId="59" applyNumberFormat="1" applyFont="1" applyFill="1" applyBorder="1" applyAlignment="1">
      <alignment horizontal="center" wrapText="1"/>
    </xf>
    <xf numFmtId="1" fontId="34" fillId="0" borderId="0" xfId="59" applyNumberFormat="1" applyFont="1" applyFill="1" applyAlignment="1">
      <alignment horizontal="center" wrapText="1"/>
    </xf>
    <xf numFmtId="166" fontId="34" fillId="0" borderId="9" xfId="59" applyNumberFormat="1" applyFont="1" applyFill="1" applyBorder="1" applyAlignment="1">
      <alignment horizontal="center" vertical="center" wrapText="1"/>
    </xf>
    <xf numFmtId="0" fontId="31" fillId="0" borderId="0" xfId="59" applyFont="1" applyFill="1" applyAlignment="1">
      <alignment horizontal="center"/>
    </xf>
    <xf numFmtId="16" fontId="42" fillId="0" borderId="9" xfId="59" applyNumberFormat="1" applyFont="1" applyFill="1" applyBorder="1" applyAlignment="1">
      <alignment horizontal="center" vertical="center" wrapText="1"/>
    </xf>
    <xf numFmtId="16" fontId="1" fillId="0" borderId="9" xfId="59" applyNumberFormat="1" applyFont="1" applyFill="1" applyBorder="1" applyAlignment="1">
      <alignment horizontal="center" vertical="center" wrapText="1"/>
    </xf>
    <xf numFmtId="16" fontId="34" fillId="0" borderId="9" xfId="59" applyNumberFormat="1" applyFont="1" applyFill="1" applyBorder="1" applyAlignment="1">
      <alignment horizontal="center" vertical="center" wrapText="1"/>
    </xf>
    <xf numFmtId="0" fontId="1" fillId="0" borderId="9" xfId="59" applyNumberFormat="1" applyFont="1" applyFill="1" applyBorder="1" applyAlignment="1">
      <alignment vertical="center" wrapText="1"/>
    </xf>
    <xf numFmtId="0" fontId="43" fillId="0" borderId="9" xfId="60" applyFont="1" applyFill="1" applyBorder="1" applyAlignment="1">
      <alignment horizontal="center" vertical="center" wrapText="1"/>
    </xf>
    <xf numFmtId="0" fontId="43" fillId="0" borderId="9" xfId="60" applyFont="1" applyFill="1" applyBorder="1" applyAlignment="1">
      <alignment horizontal="center" vertical="center"/>
    </xf>
    <xf numFmtId="0" fontId="34" fillId="27" borderId="0" xfId="59" applyFont="1" applyFill="1"/>
    <xf numFmtId="0" fontId="42" fillId="0" borderId="0" xfId="59" applyFont="1" applyFill="1" applyBorder="1" applyAlignment="1">
      <alignment horizontal="left" vertical="center" wrapText="1"/>
    </xf>
    <xf numFmtId="0" fontId="42" fillId="0" borderId="0" xfId="59" applyFont="1" applyFill="1" applyBorder="1" applyAlignment="1">
      <alignment horizontal="center"/>
    </xf>
    <xf numFmtId="0" fontId="42" fillId="0" borderId="0" xfId="59" applyFont="1" applyFill="1" applyBorder="1" applyAlignment="1">
      <alignment horizontal="center" vertical="top" wrapText="1"/>
    </xf>
    <xf numFmtId="0" fontId="42" fillId="0" borderId="0" xfId="59" applyFont="1" applyFill="1" applyAlignment="1">
      <alignment horizontal="center"/>
    </xf>
    <xf numFmtId="0" fontId="43" fillId="0" borderId="9" xfId="64" applyFont="1" applyFill="1" applyBorder="1" applyAlignment="1">
      <alignment horizontal="center" vertical="center" wrapText="1"/>
    </xf>
    <xf numFmtId="0" fontId="42" fillId="0" borderId="0" xfId="59" applyFont="1" applyFill="1" applyAlignment="1">
      <alignment horizontal="center" wrapText="1"/>
    </xf>
    <xf numFmtId="0" fontId="31" fillId="0" borderId="0" xfId="59" applyFont="1" applyFill="1" applyBorder="1" applyAlignment="1">
      <alignment wrapText="1"/>
    </xf>
    <xf numFmtId="0" fontId="31" fillId="0" borderId="0" xfId="59" applyFont="1" applyFill="1" applyBorder="1" applyAlignment="1"/>
    <xf numFmtId="16" fontId="31" fillId="0" borderId="9" xfId="0" applyNumberFormat="1" applyFont="1" applyFill="1" applyBorder="1" applyAlignment="1">
      <alignment horizontal="center" vertical="center" wrapText="1"/>
    </xf>
    <xf numFmtId="16" fontId="32" fillId="0" borderId="9" xfId="0" applyNumberFormat="1" applyFont="1" applyFill="1" applyBorder="1" applyAlignment="1">
      <alignment horizontal="center" vertical="center" wrapText="1"/>
    </xf>
    <xf numFmtId="0" fontId="42" fillId="0" borderId="9" xfId="59" applyNumberFormat="1" applyFont="1" applyFill="1" applyBorder="1" applyAlignment="1">
      <alignment vertical="center" wrapText="1"/>
    </xf>
    <xf numFmtId="4" fontId="43" fillId="0" borderId="9" xfId="0" applyNumberFormat="1" applyFont="1" applyFill="1" applyBorder="1" applyAlignment="1">
      <alignment horizontal="center" vertical="center" wrapText="1"/>
    </xf>
    <xf numFmtId="0" fontId="43" fillId="0" borderId="9" xfId="0" applyFont="1" applyFill="1" applyBorder="1" applyAlignment="1">
      <alignment horizontal="center" vertical="center" wrapText="1"/>
    </xf>
    <xf numFmtId="0" fontId="31" fillId="0" borderId="9" xfId="60" applyFont="1" applyFill="1" applyBorder="1" applyAlignment="1">
      <alignment horizontal="left" vertical="center" wrapText="1"/>
    </xf>
    <xf numFmtId="4" fontId="31" fillId="0" borderId="9" xfId="60" applyNumberFormat="1" applyFont="1" applyFill="1" applyBorder="1" applyAlignment="1">
      <alignment horizontal="right" vertical="center" wrapText="1"/>
    </xf>
    <xf numFmtId="0" fontId="31" fillId="0" borderId="9" xfId="60" applyFont="1" applyFill="1" applyBorder="1"/>
    <xf numFmtId="0" fontId="31" fillId="0" borderId="9" xfId="60" applyFont="1" applyFill="1" applyBorder="1" applyAlignment="1">
      <alignment vertical="center" wrapText="1"/>
    </xf>
    <xf numFmtId="0" fontId="31" fillId="0" borderId="9" xfId="60" applyFont="1" applyFill="1" applyBorder="1" applyAlignment="1">
      <alignment horizontal="center" vertical="center"/>
    </xf>
    <xf numFmtId="1" fontId="42" fillId="0" borderId="9" xfId="60" applyNumberFormat="1" applyFont="1" applyFill="1" applyBorder="1" applyAlignment="1">
      <alignment vertical="center"/>
    </xf>
    <xf numFmtId="1" fontId="42" fillId="0" borderId="0" xfId="60" applyNumberFormat="1" applyFont="1" applyFill="1" applyAlignment="1">
      <alignment vertical="center"/>
    </xf>
    <xf numFmtId="0" fontId="1" fillId="27" borderId="0" xfId="59" applyFont="1" applyFill="1"/>
    <xf numFmtId="1" fontId="42" fillId="0" borderId="9" xfId="60" applyNumberFormat="1" applyFont="1" applyFill="1" applyBorder="1" applyAlignment="1">
      <alignment horizontal="center" vertical="center" wrapText="1"/>
    </xf>
    <xf numFmtId="169" fontId="42" fillId="0" borderId="9" xfId="60" applyNumberFormat="1" applyFont="1" applyFill="1" applyBorder="1" applyAlignment="1">
      <alignment horizontal="right" vertical="center" wrapText="1"/>
    </xf>
    <xf numFmtId="1" fontId="42" fillId="0" borderId="9" xfId="60" applyNumberFormat="1" applyFont="1" applyFill="1" applyBorder="1" applyAlignment="1">
      <alignment horizontal="right" vertical="center" wrapText="1"/>
    </xf>
    <xf numFmtId="169" fontId="43" fillId="0" borderId="9" xfId="60" applyNumberFormat="1" applyFont="1" applyFill="1" applyBorder="1" applyAlignment="1">
      <alignment horizontal="right" vertical="center" wrapText="1"/>
    </xf>
    <xf numFmtId="0" fontId="43" fillId="0" borderId="9" xfId="59" applyFont="1" applyFill="1" applyBorder="1" applyAlignment="1">
      <alignment horizontal="center" vertical="center" wrapText="1"/>
    </xf>
    <xf numFmtId="0" fontId="43" fillId="0" borderId="0" xfId="59" applyFont="1" applyFill="1" applyBorder="1" applyAlignment="1">
      <alignment horizontal="center"/>
    </xf>
    <xf numFmtId="49" fontId="43" fillId="0" borderId="9" xfId="59" applyNumberFormat="1" applyFont="1" applyFill="1" applyBorder="1" applyAlignment="1">
      <alignment horizontal="center" vertical="center" wrapText="1"/>
    </xf>
    <xf numFmtId="4" fontId="43" fillId="0" borderId="9" xfId="59" applyNumberFormat="1" applyFont="1" applyFill="1" applyBorder="1" applyAlignment="1">
      <alignment horizontal="center" vertical="center" wrapText="1"/>
    </xf>
    <xf numFmtId="0" fontId="2" fillId="0" borderId="9" xfId="59" applyNumberFormat="1" applyFont="1" applyFill="1" applyBorder="1" applyAlignment="1">
      <alignment vertical="center" wrapText="1"/>
    </xf>
    <xf numFmtId="169" fontId="43" fillId="0" borderId="0" xfId="59" applyNumberFormat="1" applyFont="1" applyFill="1" applyBorder="1" applyAlignment="1">
      <alignment horizontal="right"/>
    </xf>
    <xf numFmtId="0" fontId="43" fillId="0" borderId="0" xfId="59" applyFont="1" applyFill="1" applyBorder="1" applyAlignment="1">
      <alignment horizontal="center"/>
    </xf>
    <xf numFmtId="0" fontId="43" fillId="0" borderId="0" xfId="59" applyFont="1" applyFill="1" applyBorder="1" applyAlignment="1">
      <alignment horizontal="left" vertical="top" wrapText="1"/>
    </xf>
    <xf numFmtId="166" fontId="43" fillId="0" borderId="0" xfId="59" applyNumberFormat="1" applyFont="1" applyFill="1" applyAlignment="1">
      <alignment horizontal="center"/>
    </xf>
    <xf numFmtId="0" fontId="34" fillId="0" borderId="9" xfId="59" applyFont="1" applyFill="1" applyBorder="1" applyAlignment="1">
      <alignment horizontal="center" vertical="center" wrapText="1"/>
    </xf>
    <xf numFmtId="0" fontId="2" fillId="0" borderId="9" xfId="59" applyFont="1" applyFill="1" applyBorder="1" applyAlignment="1">
      <alignment horizontal="center" vertical="center" wrapText="1"/>
    </xf>
    <xf numFmtId="1" fontId="2" fillId="0" borderId="9" xfId="59" applyNumberFormat="1" applyFont="1" applyFill="1" applyBorder="1" applyAlignment="1">
      <alignment horizontal="center" vertical="center" wrapText="1"/>
    </xf>
    <xf numFmtId="0" fontId="2" fillId="0" borderId="9" xfId="59" applyFont="1" applyFill="1" applyBorder="1" applyAlignment="1">
      <alignment horizontal="center"/>
    </xf>
    <xf numFmtId="0" fontId="43" fillId="0" borderId="0" xfId="59" applyFont="1" applyFill="1" applyBorder="1" applyAlignment="1">
      <alignment horizontal="center" vertical="center"/>
    </xf>
    <xf numFmtId="0" fontId="2" fillId="0" borderId="9" xfId="59" applyFont="1" applyFill="1" applyBorder="1" applyAlignment="1">
      <alignment horizontal="center" vertical="center" wrapText="1"/>
    </xf>
    <xf numFmtId="0" fontId="2" fillId="0" borderId="9" xfId="59" applyNumberFormat="1" applyFont="1" applyFill="1" applyBorder="1" applyAlignment="1">
      <alignment horizontal="center" vertical="center" wrapText="1"/>
    </xf>
    <xf numFmtId="0" fontId="2" fillId="0" borderId="0" xfId="59" applyFont="1" applyAlignment="1">
      <alignment horizontal="center" wrapText="1"/>
    </xf>
    <xf numFmtId="0" fontId="43" fillId="0" borderId="9" xfId="59" applyNumberFormat="1" applyFont="1" applyFill="1" applyBorder="1" applyAlignment="1">
      <alignment vertical="center" wrapText="1"/>
    </xf>
    <xf numFmtId="4" fontId="42" fillId="0" borderId="9" xfId="59" applyNumberFormat="1" applyFont="1" applyFill="1" applyBorder="1" applyAlignment="1">
      <alignment horizontal="center" vertical="center" wrapText="1"/>
    </xf>
    <xf numFmtId="0" fontId="43" fillId="0" borderId="0" xfId="59" applyFont="1" applyFill="1" applyBorder="1" applyAlignment="1">
      <alignment horizontal="justify" vertical="top" wrapText="1"/>
    </xf>
    <xf numFmtId="0" fontId="43" fillId="0" borderId="0" xfId="59" applyFont="1" applyFill="1" applyBorder="1" applyAlignment="1">
      <alignment horizontal="justify" vertical="top"/>
    </xf>
    <xf numFmtId="0" fontId="43" fillId="0" borderId="0" xfId="59" applyFont="1" applyFill="1" applyBorder="1" applyAlignment="1">
      <alignment horizontal="left"/>
    </xf>
    <xf numFmtId="0" fontId="43" fillId="0" borderId="0" xfId="59" applyFont="1" applyFill="1" applyAlignment="1">
      <alignment horizontal="left"/>
    </xf>
    <xf numFmtId="166" fontId="34" fillId="0" borderId="17" xfId="59" applyNumberFormat="1" applyFont="1" applyFill="1" applyBorder="1" applyAlignment="1">
      <alignment horizontal="right" vertical="center" wrapText="1"/>
    </xf>
    <xf numFmtId="166" fontId="2" fillId="0" borderId="17" xfId="58" applyNumberFormat="1" applyFont="1" applyFill="1" applyBorder="1" applyAlignment="1">
      <alignment horizontal="right" vertical="center" wrapText="1"/>
    </xf>
    <xf numFmtId="0" fontId="34" fillId="0" borderId="17" xfId="59" applyFont="1" applyFill="1" applyBorder="1"/>
    <xf numFmtId="0" fontId="34" fillId="0" borderId="0" xfId="59" applyFont="1" applyFill="1" applyAlignment="1"/>
    <xf numFmtId="0" fontId="34" fillId="0" borderId="9" xfId="59" applyFont="1" applyFill="1" applyBorder="1" applyAlignment="1"/>
    <xf numFmtId="166" fontId="34" fillId="0" borderId="0" xfId="59" applyNumberFormat="1" applyFont="1" applyFill="1"/>
    <xf numFmtId="166" fontId="1" fillId="0" borderId="9" xfId="59" applyNumberFormat="1" applyFont="1" applyFill="1" applyBorder="1" applyAlignment="1">
      <alignment vertical="center"/>
    </xf>
    <xf numFmtId="0" fontId="2" fillId="0" borderId="9" xfId="59" applyFont="1" applyFill="1" applyBorder="1" applyAlignment="1">
      <alignment horizontal="center" vertical="center" wrapText="1"/>
    </xf>
    <xf numFmtId="0" fontId="1" fillId="0" borderId="0" xfId="59" applyFont="1" applyFill="1" applyBorder="1" applyAlignment="1">
      <alignment horizontal="left" wrapText="1"/>
    </xf>
    <xf numFmtId="49" fontId="2" fillId="0" borderId="9" xfId="59" applyNumberFormat="1" applyFont="1" applyFill="1" applyBorder="1" applyAlignment="1">
      <alignment horizontal="center" vertical="center" wrapText="1"/>
    </xf>
    <xf numFmtId="2" fontId="31" fillId="0" borderId="9" xfId="59" applyNumberFormat="1" applyFont="1" applyFill="1" applyBorder="1" applyAlignment="1">
      <alignment horizontal="center" vertical="center"/>
    </xf>
    <xf numFmtId="2" fontId="1" fillId="0" borderId="9" xfId="59" applyNumberFormat="1" applyFont="1" applyFill="1" applyBorder="1" applyAlignment="1">
      <alignment horizontal="center" vertical="center" wrapText="1"/>
    </xf>
    <xf numFmtId="0" fontId="2" fillId="0" borderId="0" xfId="59" applyFont="1" applyFill="1" applyBorder="1" applyAlignment="1">
      <alignment horizontal="center" vertical="center" wrapText="1"/>
    </xf>
    <xf numFmtId="0" fontId="2" fillId="0" borderId="0" xfId="59" applyNumberFormat="1" applyFont="1" applyFill="1" applyBorder="1" applyAlignment="1">
      <alignment horizontal="left" vertical="center" wrapText="1"/>
    </xf>
    <xf numFmtId="166" fontId="2" fillId="0" borderId="0" xfId="58" applyNumberFormat="1" applyFont="1" applyFill="1" applyBorder="1" applyAlignment="1">
      <alignment horizontal="center" vertical="center"/>
    </xf>
    <xf numFmtId="0" fontId="1" fillId="0" borderId="0" xfId="59" applyNumberFormat="1" applyFont="1" applyFill="1" applyBorder="1" applyAlignment="1">
      <alignment horizontal="left" vertical="center"/>
    </xf>
    <xf numFmtId="0" fontId="61" fillId="0" borderId="0" xfId="77" applyFont="1"/>
    <xf numFmtId="4" fontId="20" fillId="0" borderId="0" xfId="78" applyNumberFormat="1" applyFont="1" applyFill="1" applyAlignment="1">
      <alignment horizontal="right"/>
    </xf>
    <xf numFmtId="0" fontId="60" fillId="0" borderId="0" xfId="77"/>
    <xf numFmtId="0" fontId="20" fillId="0" borderId="0" xfId="78" applyFont="1" applyFill="1" applyAlignment="1">
      <alignment horizontal="right"/>
    </xf>
    <xf numFmtId="0" fontId="20" fillId="0" borderId="0" xfId="78" applyFont="1" applyFill="1" applyAlignment="1"/>
    <xf numFmtId="0" fontId="20" fillId="0" borderId="0" xfId="78" applyFont="1" applyFill="1" applyAlignment="1">
      <alignment horizontal="right" vertical="center"/>
    </xf>
    <xf numFmtId="0" fontId="62" fillId="0" borderId="0" xfId="77" applyFont="1"/>
    <xf numFmtId="0" fontId="61" fillId="0" borderId="9" xfId="77" applyFont="1" applyBorder="1"/>
    <xf numFmtId="0" fontId="63" fillId="0" borderId="9" xfId="77" applyFont="1" applyBorder="1" applyAlignment="1">
      <alignment horizontal="center" vertical="center"/>
    </xf>
    <xf numFmtId="0" fontId="63" fillId="0" borderId="9" xfId="77" applyFont="1" applyBorder="1" applyAlignment="1">
      <alignment horizontal="right" vertical="center" wrapText="1"/>
    </xf>
    <xf numFmtId="0" fontId="61" fillId="0" borderId="0" xfId="77" applyFont="1" applyBorder="1" applyAlignment="1">
      <alignment horizontal="center"/>
    </xf>
    <xf numFmtId="4" fontId="61" fillId="0" borderId="0" xfId="77" applyNumberFormat="1" applyFont="1" applyBorder="1" applyAlignment="1">
      <alignment horizontal="center"/>
    </xf>
    <xf numFmtId="0" fontId="61" fillId="0" borderId="0" xfId="77" applyFont="1" applyBorder="1"/>
    <xf numFmtId="0" fontId="62" fillId="0" borderId="0" xfId="77" applyFont="1" applyBorder="1" applyAlignment="1">
      <alignment horizontal="left"/>
    </xf>
    <xf numFmtId="0" fontId="61" fillId="0" borderId="0" xfId="77" applyFont="1" applyAlignment="1">
      <alignment vertical="center"/>
    </xf>
    <xf numFmtId="0" fontId="61" fillId="0" borderId="0" xfId="77" applyFont="1" applyBorder="1" applyAlignment="1">
      <alignment horizontal="center" vertical="center" wrapText="1"/>
    </xf>
    <xf numFmtId="166" fontId="61" fillId="0" borderId="0" xfId="77" applyNumberFormat="1" applyFont="1" applyBorder="1" applyAlignment="1">
      <alignment horizontal="left"/>
    </xf>
    <xf numFmtId="0" fontId="61" fillId="0" borderId="0" xfId="77" applyFont="1" applyBorder="1" applyAlignment="1">
      <alignment horizontal="left"/>
    </xf>
    <xf numFmtId="4" fontId="64" fillId="0" borderId="9" xfId="77" applyNumberFormat="1" applyFont="1" applyBorder="1" applyAlignment="1">
      <alignment horizontal="center"/>
    </xf>
    <xf numFmtId="0" fontId="43" fillId="0" borderId="9" xfId="59" applyFont="1" applyFill="1" applyBorder="1" applyAlignment="1">
      <alignment horizontal="center" vertical="center" wrapText="1"/>
    </xf>
    <xf numFmtId="0" fontId="42" fillId="0" borderId="0" xfId="59" applyFont="1" applyFill="1" applyBorder="1" applyAlignment="1">
      <alignment horizontal="right"/>
    </xf>
    <xf numFmtId="0" fontId="43" fillId="0" borderId="0" xfId="59" applyFont="1" applyFill="1" applyBorder="1" applyAlignment="1">
      <alignment horizontal="center" vertical="center"/>
    </xf>
    <xf numFmtId="0" fontId="43" fillId="0" borderId="0" xfId="59" applyFont="1" applyFill="1" applyBorder="1" applyAlignment="1">
      <alignment horizontal="left" vertical="top" wrapText="1"/>
    </xf>
    <xf numFmtId="49" fontId="43" fillId="0" borderId="9" xfId="59" applyNumberFormat="1" applyFont="1" applyFill="1" applyBorder="1" applyAlignment="1">
      <alignment horizontal="center" vertical="center" wrapText="1"/>
    </xf>
    <xf numFmtId="0" fontId="43" fillId="0" borderId="0" xfId="59" applyFont="1" applyFill="1" applyBorder="1" applyAlignment="1">
      <alignment horizontal="center" vertical="center" wrapText="1"/>
    </xf>
    <xf numFmtId="0" fontId="42" fillId="0" borderId="0" xfId="59" applyFont="1" applyFill="1" applyBorder="1" applyAlignment="1"/>
    <xf numFmtId="0" fontId="42" fillId="0" borderId="0" xfId="59" applyFont="1" applyFill="1" applyBorder="1" applyAlignment="1">
      <alignment vertical="top" wrapText="1"/>
    </xf>
    <xf numFmtId="0" fontId="42" fillId="0" borderId="0" xfId="59" applyFont="1" applyFill="1" applyBorder="1" applyAlignment="1">
      <alignment horizontal="right" vertical="top"/>
    </xf>
    <xf numFmtId="0" fontId="1" fillId="0" borderId="9" xfId="59" applyNumberFormat="1" applyFont="1" applyFill="1" applyBorder="1" applyAlignment="1">
      <alignment horizontal="left" vertical="center" wrapText="1"/>
    </xf>
    <xf numFmtId="0" fontId="63" fillId="0" borderId="0" xfId="77" applyFont="1" applyBorder="1" applyAlignment="1">
      <alignment horizontal="center" vertical="center"/>
    </xf>
    <xf numFmtId="4" fontId="64" fillId="0" borderId="0" xfId="77" applyNumberFormat="1" applyFont="1" applyBorder="1" applyAlignment="1">
      <alignment horizontal="center"/>
    </xf>
    <xf numFmtId="16" fontId="1" fillId="0" borderId="0" xfId="59" applyNumberFormat="1" applyFont="1" applyFill="1" applyAlignment="1">
      <alignment horizontal="right"/>
    </xf>
    <xf numFmtId="0" fontId="34" fillId="0" borderId="9" xfId="59" applyFont="1" applyFill="1" applyBorder="1" applyAlignment="1">
      <alignment horizontal="center" vertical="center" wrapText="1"/>
    </xf>
    <xf numFmtId="0" fontId="2" fillId="0" borderId="9" xfId="59" applyFont="1" applyFill="1" applyBorder="1" applyAlignment="1">
      <alignment horizontal="center" vertical="center" wrapText="1"/>
    </xf>
    <xf numFmtId="0" fontId="2" fillId="0" borderId="9" xfId="59" applyNumberFormat="1" applyFont="1" applyFill="1" applyBorder="1" applyAlignment="1">
      <alignment horizontal="center"/>
    </xf>
    <xf numFmtId="0" fontId="2" fillId="0" borderId="9" xfId="59" applyFont="1" applyFill="1" applyBorder="1" applyAlignment="1">
      <alignment horizontal="center"/>
    </xf>
    <xf numFmtId="0" fontId="2" fillId="0" borderId="9" xfId="59" applyNumberFormat="1" applyFont="1" applyFill="1" applyBorder="1" applyAlignment="1">
      <alignment horizontal="center" vertical="center" wrapText="1"/>
    </xf>
    <xf numFmtId="49" fontId="1" fillId="0" borderId="0" xfId="59" applyNumberFormat="1" applyFont="1" applyFill="1"/>
    <xf numFmtId="0" fontId="1" fillId="0" borderId="0" xfId="59" applyFont="1" applyFill="1" applyBorder="1" applyAlignment="1">
      <alignment horizontal="left" wrapText="1"/>
    </xf>
    <xf numFmtId="49" fontId="2" fillId="0" borderId="9" xfId="59" applyNumberFormat="1" applyFont="1" applyFill="1" applyBorder="1" applyAlignment="1">
      <alignment horizontal="center" vertical="center" wrapText="1"/>
    </xf>
    <xf numFmtId="0" fontId="2" fillId="0" borderId="9" xfId="59" applyFont="1" applyFill="1" applyBorder="1" applyAlignment="1">
      <alignment horizontal="center" vertical="center"/>
    </xf>
    <xf numFmtId="0" fontId="2" fillId="0" borderId="17" xfId="59" applyFont="1" applyFill="1" applyBorder="1" applyAlignment="1">
      <alignment horizontal="center"/>
    </xf>
    <xf numFmtId="0" fontId="1" fillId="0" borderId="61" xfId="59" applyFont="1" applyBorder="1" applyAlignment="1">
      <alignment vertical="center"/>
    </xf>
    <xf numFmtId="3" fontId="36" fillId="0" borderId="62" xfId="59" applyNumberFormat="1" applyFont="1" applyBorder="1" applyAlignment="1">
      <alignment vertical="center"/>
    </xf>
    <xf numFmtId="3" fontId="36" fillId="0" borderId="29" xfId="59" applyNumberFormat="1" applyFont="1" applyFill="1" applyBorder="1" applyAlignment="1">
      <alignment vertical="center"/>
    </xf>
    <xf numFmtId="3" fontId="36" fillId="0" borderId="31" xfId="59" applyNumberFormat="1" applyFont="1" applyFill="1" applyBorder="1" applyAlignment="1">
      <alignment vertical="center"/>
    </xf>
    <xf numFmtId="3" fontId="36" fillId="0" borderId="31" xfId="59" applyNumberFormat="1" applyFont="1" applyBorder="1" applyAlignment="1">
      <alignment vertical="center"/>
    </xf>
    <xf numFmtId="10" fontId="36" fillId="0" borderId="33" xfId="59" applyNumberFormat="1" applyFont="1" applyBorder="1" applyAlignment="1">
      <alignment vertical="center"/>
    </xf>
    <xf numFmtId="0" fontId="1" fillId="0" borderId="0" xfId="59" applyFont="1" applyAlignment="1">
      <alignment horizontal="center"/>
    </xf>
    <xf numFmtId="0" fontId="1" fillId="0" borderId="0" xfId="59" applyFont="1" applyFill="1" applyBorder="1" applyAlignment="1">
      <alignment horizontal="left"/>
    </xf>
    <xf numFmtId="0" fontId="43" fillId="0" borderId="9" xfId="59" applyFont="1" applyFill="1" applyBorder="1" applyAlignment="1">
      <alignment horizontal="center" vertical="center" wrapText="1"/>
    </xf>
    <xf numFmtId="4" fontId="43" fillId="0" borderId="9" xfId="59" applyNumberFormat="1" applyFont="1" applyFill="1" applyBorder="1" applyAlignment="1">
      <alignment horizontal="center" vertical="center" wrapText="1"/>
    </xf>
    <xf numFmtId="0" fontId="34" fillId="0" borderId="9" xfId="59" applyFont="1" applyFill="1" applyBorder="1" applyAlignment="1">
      <alignment horizontal="center" vertical="center" wrapText="1"/>
    </xf>
    <xf numFmtId="0" fontId="2" fillId="0" borderId="9" xfId="59" applyFont="1" applyFill="1" applyBorder="1" applyAlignment="1">
      <alignment horizontal="center" vertical="center" wrapText="1"/>
    </xf>
    <xf numFmtId="0" fontId="2" fillId="0" borderId="9" xfId="59" applyFont="1" applyFill="1" applyBorder="1" applyAlignment="1">
      <alignment horizontal="center"/>
    </xf>
    <xf numFmtId="1" fontId="2" fillId="0" borderId="9" xfId="59" applyNumberFormat="1" applyFont="1" applyFill="1" applyBorder="1" applyAlignment="1">
      <alignment horizontal="center" vertical="center" wrapText="1"/>
    </xf>
    <xf numFmtId="0" fontId="66" fillId="28" borderId="0" xfId="59" applyFont="1" applyFill="1" applyBorder="1" applyAlignment="1">
      <alignment vertical="center"/>
    </xf>
    <xf numFmtId="168" fontId="65" fillId="28" borderId="0" xfId="59" applyNumberFormat="1" applyFont="1" applyFill="1" applyBorder="1" applyAlignment="1">
      <alignment horizontal="center" vertical="center"/>
    </xf>
    <xf numFmtId="0" fontId="1" fillId="28" borderId="0" xfId="59" applyFont="1" applyFill="1" applyAlignment="1">
      <alignment vertical="center"/>
    </xf>
    <xf numFmtId="16" fontId="42" fillId="0" borderId="9" xfId="59" applyNumberFormat="1" applyFont="1" applyFill="1" applyBorder="1" applyAlignment="1">
      <alignment horizontal="left" vertical="center" wrapText="1"/>
    </xf>
    <xf numFmtId="16" fontId="43" fillId="0" borderId="9" xfId="59" applyNumberFormat="1" applyFont="1" applyFill="1" applyBorder="1" applyAlignment="1">
      <alignment horizontal="left" vertical="center" wrapText="1"/>
    </xf>
    <xf numFmtId="0" fontId="43" fillId="0" borderId="0" xfId="59" applyFont="1" applyFill="1" applyBorder="1" applyAlignment="1">
      <alignment horizontal="left" vertical="top" wrapText="1"/>
    </xf>
    <xf numFmtId="0" fontId="43" fillId="0" borderId="9" xfId="59" applyFont="1" applyFill="1" applyBorder="1" applyAlignment="1">
      <alignment horizontal="center" vertical="center" wrapText="1"/>
    </xf>
    <xf numFmtId="49" fontId="43" fillId="0" borderId="9" xfId="59" applyNumberFormat="1" applyFont="1" applyFill="1" applyBorder="1" applyAlignment="1">
      <alignment horizontal="center" vertical="center" wrapText="1"/>
    </xf>
    <xf numFmtId="0" fontId="2" fillId="0" borderId="9" xfId="59" applyFont="1" applyFill="1" applyBorder="1" applyAlignment="1">
      <alignment horizontal="center"/>
    </xf>
    <xf numFmtId="0" fontId="2" fillId="0" borderId="9" xfId="59" applyFont="1" applyFill="1" applyBorder="1" applyAlignment="1">
      <alignment horizontal="center" vertical="center"/>
    </xf>
    <xf numFmtId="0" fontId="68" fillId="0" borderId="0" xfId="60" applyFont="1" applyFill="1"/>
    <xf numFmtId="0" fontId="68" fillId="0" borderId="0" xfId="60" applyFont="1" applyFill="1" applyAlignment="1">
      <alignment vertical="center"/>
    </xf>
    <xf numFmtId="0" fontId="68" fillId="0" borderId="0" xfId="60" applyFont="1" applyFill="1" applyAlignment="1">
      <alignment horizontal="center" vertical="center"/>
    </xf>
    <xf numFmtId="0" fontId="68" fillId="0" borderId="0" xfId="60" applyFont="1" applyFill="1" applyAlignment="1">
      <alignment horizontal="right" vertical="center"/>
    </xf>
    <xf numFmtId="4" fontId="68" fillId="0" borderId="0" xfId="60" applyNumberFormat="1" applyFont="1" applyFill="1" applyAlignment="1">
      <alignment horizontal="right"/>
    </xf>
    <xf numFmtId="0" fontId="22" fillId="0" borderId="42" xfId="59" applyFont="1" applyFill="1" applyBorder="1" applyAlignment="1">
      <alignment horizontal="center" vertical="center" wrapText="1"/>
    </xf>
    <xf numFmtId="0" fontId="61" fillId="0" borderId="0" xfId="77" applyFont="1" applyFill="1"/>
    <xf numFmtId="49" fontId="1" fillId="0" borderId="9" xfId="59" applyNumberFormat="1" applyFont="1" applyFill="1" applyBorder="1" applyAlignment="1">
      <alignment vertical="center" wrapText="1"/>
    </xf>
    <xf numFmtId="16" fontId="1" fillId="0" borderId="9" xfId="59" applyNumberFormat="1" applyFont="1" applyFill="1" applyBorder="1" applyAlignment="1">
      <alignment horizontal="left" vertical="center" wrapText="1"/>
    </xf>
    <xf numFmtId="16" fontId="42" fillId="0" borderId="9" xfId="0" applyNumberFormat="1" applyFont="1" applyFill="1" applyBorder="1" applyAlignment="1">
      <alignment horizontal="center" vertical="center" wrapText="1"/>
    </xf>
    <xf numFmtId="16" fontId="42" fillId="0" borderId="9" xfId="0" applyNumberFormat="1" applyFont="1" applyFill="1" applyBorder="1" applyAlignment="1">
      <alignment horizontal="left" vertical="center" wrapText="1"/>
    </xf>
    <xf numFmtId="16" fontId="43" fillId="0" borderId="9" xfId="0" applyNumberFormat="1" applyFont="1" applyFill="1" applyBorder="1" applyAlignment="1">
      <alignment horizontal="left" vertical="center" wrapText="1"/>
    </xf>
    <xf numFmtId="2" fontId="70" fillId="0" borderId="9" xfId="0" applyNumberFormat="1" applyFont="1" applyBorder="1" applyAlignment="1">
      <alignment horizontal="center" vertical="center"/>
    </xf>
    <xf numFmtId="0" fontId="70" fillId="0" borderId="9" xfId="0" applyFont="1" applyBorder="1" applyAlignment="1">
      <alignment horizontal="center"/>
    </xf>
    <xf numFmtId="1" fontId="70" fillId="0" borderId="9" xfId="0" applyNumberFormat="1" applyFont="1" applyBorder="1" applyAlignment="1">
      <alignment horizontal="center" vertical="center"/>
    </xf>
    <xf numFmtId="172" fontId="1" fillId="0" borderId="0" xfId="0" applyNumberFormat="1" applyFont="1"/>
    <xf numFmtId="4" fontId="43" fillId="0" borderId="9" xfId="64" applyNumberFormat="1" applyFont="1" applyFill="1" applyBorder="1" applyAlignment="1">
      <alignment horizontal="center" vertical="center" wrapText="1"/>
    </xf>
    <xf numFmtId="4" fontId="42" fillId="0" borderId="9" xfId="59" applyNumberFormat="1" applyFont="1" applyFill="1" applyBorder="1" applyAlignment="1">
      <alignment horizontal="center" vertical="center"/>
    </xf>
    <xf numFmtId="4" fontId="43" fillId="0" borderId="9" xfId="59" applyNumberFormat="1" applyFont="1" applyFill="1" applyBorder="1" applyAlignment="1">
      <alignment horizontal="center" vertical="center"/>
    </xf>
    <xf numFmtId="166" fontId="43" fillId="0" borderId="9" xfId="59" applyNumberFormat="1" applyFont="1" applyFill="1" applyBorder="1" applyAlignment="1">
      <alignment horizontal="center" vertical="center"/>
    </xf>
    <xf numFmtId="4" fontId="43" fillId="0" borderId="9" xfId="64" applyNumberFormat="1" applyFont="1" applyFill="1" applyBorder="1" applyAlignment="1">
      <alignment horizontal="center" vertical="center"/>
    </xf>
    <xf numFmtId="1" fontId="42" fillId="0" borderId="9" xfId="59" applyNumberFormat="1" applyFont="1" applyFill="1" applyBorder="1" applyAlignment="1">
      <alignment horizontal="center" vertical="center" wrapText="1"/>
    </xf>
    <xf numFmtId="1" fontId="43" fillId="0" borderId="9" xfId="59" applyNumberFormat="1" applyFont="1" applyFill="1" applyBorder="1" applyAlignment="1">
      <alignment horizontal="center" vertical="center"/>
    </xf>
    <xf numFmtId="4" fontId="34" fillId="0" borderId="9" xfId="58" applyNumberFormat="1" applyFont="1" applyFill="1" applyBorder="1" applyAlignment="1">
      <alignment horizontal="center" vertical="center"/>
    </xf>
    <xf numFmtId="4" fontId="34" fillId="0" borderId="9" xfId="59" applyNumberFormat="1" applyFont="1" applyFill="1" applyBorder="1" applyAlignment="1">
      <alignment horizontal="center" vertical="center" wrapText="1"/>
    </xf>
    <xf numFmtId="4" fontId="2" fillId="0" borderId="9" xfId="58" applyNumberFormat="1" applyFont="1" applyFill="1" applyBorder="1" applyAlignment="1">
      <alignment horizontal="center" vertical="center"/>
    </xf>
    <xf numFmtId="4" fontId="2" fillId="0" borderId="9" xfId="59" applyNumberFormat="1" applyFont="1" applyFill="1" applyBorder="1" applyAlignment="1">
      <alignment vertical="center" wrapText="1"/>
    </xf>
    <xf numFmtId="4" fontId="34" fillId="0" borderId="17" xfId="59" applyNumberFormat="1" applyFont="1" applyFill="1" applyBorder="1" applyAlignment="1">
      <alignment horizontal="center" vertical="center" wrapText="1"/>
    </xf>
    <xf numFmtId="4" fontId="34" fillId="0" borderId="17" xfId="58" applyNumberFormat="1" applyFont="1" applyFill="1" applyBorder="1" applyAlignment="1">
      <alignment horizontal="center" vertical="center"/>
    </xf>
    <xf numFmtId="4" fontId="2" fillId="0" borderId="17" xfId="58" applyNumberFormat="1" applyFont="1" applyFill="1" applyBorder="1" applyAlignment="1">
      <alignment horizontal="center" vertical="center" wrapText="1"/>
    </xf>
    <xf numFmtId="4" fontId="2" fillId="0" borderId="9" xfId="59" applyNumberFormat="1" applyFont="1" applyFill="1" applyBorder="1" applyAlignment="1">
      <alignment vertical="center"/>
    </xf>
    <xf numFmtId="4" fontId="2" fillId="0" borderId="9" xfId="64" applyNumberFormat="1" applyFont="1" applyFill="1" applyBorder="1" applyAlignment="1">
      <alignment horizontal="center" vertical="center" wrapText="1"/>
    </xf>
    <xf numFmtId="4" fontId="34" fillId="0" borderId="0" xfId="59" applyNumberFormat="1" applyFont="1" applyFill="1" applyAlignment="1">
      <alignment horizontal="center" vertical="center"/>
    </xf>
    <xf numFmtId="4" fontId="2" fillId="0" borderId="9" xfId="58" applyNumberFormat="1" applyFont="1" applyFill="1" applyBorder="1" applyAlignment="1">
      <alignment horizontal="center" vertical="center" wrapText="1"/>
    </xf>
    <xf numFmtId="4" fontId="1" fillId="0" borderId="9" xfId="59" applyNumberFormat="1" applyFont="1" applyFill="1" applyBorder="1" applyAlignment="1">
      <alignment horizontal="center" vertical="center"/>
    </xf>
    <xf numFmtId="4" fontId="34" fillId="0" borderId="9" xfId="59" applyNumberFormat="1" applyFont="1" applyFill="1" applyBorder="1" applyAlignment="1">
      <alignment horizontal="center" vertical="center"/>
    </xf>
    <xf numFmtId="4" fontId="34" fillId="0" borderId="17" xfId="59" applyNumberFormat="1" applyFont="1" applyFill="1" applyBorder="1" applyAlignment="1">
      <alignment horizontal="center" vertical="center"/>
    </xf>
    <xf numFmtId="0" fontId="43" fillId="0" borderId="0" xfId="59" applyFont="1" applyFill="1" applyBorder="1" applyAlignment="1">
      <alignment horizontal="left" vertical="top" wrapText="1"/>
    </xf>
    <xf numFmtId="172" fontId="2" fillId="0" borderId="40" xfId="59" applyNumberFormat="1" applyFont="1" applyFill="1" applyBorder="1" applyAlignment="1">
      <alignment horizontal="right" vertical="center"/>
    </xf>
    <xf numFmtId="172" fontId="2" fillId="0" borderId="16" xfId="59" applyNumberFormat="1" applyFont="1" applyFill="1" applyBorder="1" applyAlignment="1">
      <alignment horizontal="right" vertical="center"/>
    </xf>
    <xf numFmtId="172" fontId="2" fillId="0" borderId="20" xfId="59" applyNumberFormat="1" applyFont="1" applyFill="1" applyBorder="1" applyAlignment="1">
      <alignment horizontal="right" vertical="center"/>
    </xf>
    <xf numFmtId="172" fontId="2" fillId="0" borderId="18" xfId="59" applyNumberFormat="1" applyFont="1" applyFill="1" applyBorder="1" applyAlignment="1">
      <alignment horizontal="right" vertical="center"/>
    </xf>
    <xf numFmtId="172" fontId="1" fillId="0" borderId="16" xfId="59" applyNumberFormat="1" applyFont="1" applyFill="1" applyBorder="1" applyAlignment="1">
      <alignment horizontal="right" vertical="center"/>
    </xf>
    <xf numFmtId="172" fontId="1" fillId="0" borderId="20" xfId="59" applyNumberFormat="1" applyFont="1" applyFill="1" applyBorder="1" applyAlignment="1">
      <alignment horizontal="right" vertical="center"/>
    </xf>
    <xf numFmtId="172" fontId="1" fillId="0" borderId="40" xfId="59" applyNumberFormat="1" applyFont="1" applyFill="1" applyBorder="1" applyAlignment="1">
      <alignment horizontal="right" vertical="center"/>
    </xf>
    <xf numFmtId="172" fontId="2" fillId="0" borderId="50" xfId="59" applyNumberFormat="1" applyFont="1" applyFill="1" applyBorder="1" applyAlignment="1">
      <alignment horizontal="right" vertical="center"/>
    </xf>
    <xf numFmtId="4" fontId="2" fillId="0" borderId="9" xfId="58" applyNumberFormat="1" applyFont="1" applyFill="1" applyBorder="1" applyAlignment="1">
      <alignment vertical="center"/>
    </xf>
    <xf numFmtId="4" fontId="2" fillId="0" borderId="17" xfId="59" applyNumberFormat="1" applyFont="1" applyFill="1" applyBorder="1" applyAlignment="1">
      <alignment horizontal="center" vertical="center" wrapText="1"/>
    </xf>
    <xf numFmtId="4" fontId="2" fillId="0" borderId="9" xfId="59" applyNumberFormat="1" applyFont="1" applyFill="1" applyBorder="1" applyAlignment="1">
      <alignment horizontal="center" vertical="center"/>
    </xf>
    <xf numFmtId="4" fontId="2" fillId="0" borderId="17" xfId="59" applyNumberFormat="1" applyFont="1" applyFill="1" applyBorder="1" applyAlignment="1">
      <alignment horizontal="center" vertical="center"/>
    </xf>
    <xf numFmtId="4" fontId="1" fillId="0" borderId="9" xfId="59" applyNumberFormat="1" applyFont="1" applyFill="1" applyBorder="1" applyAlignment="1">
      <alignment vertical="center"/>
    </xf>
    <xf numFmtId="4" fontId="34" fillId="0" borderId="9" xfId="59" applyNumberFormat="1" applyFont="1" applyFill="1" applyBorder="1" applyAlignment="1">
      <alignment vertical="center"/>
    </xf>
    <xf numFmtId="4" fontId="34" fillId="0" borderId="17" xfId="59" applyNumberFormat="1" applyFont="1" applyFill="1" applyBorder="1" applyAlignment="1">
      <alignment vertical="center"/>
    </xf>
    <xf numFmtId="0" fontId="34" fillId="0" borderId="0" xfId="59" applyFont="1" applyFill="1" applyAlignment="1">
      <alignment vertical="center"/>
    </xf>
    <xf numFmtId="16" fontId="2" fillId="0" borderId="9" xfId="59" applyNumberFormat="1" applyFont="1" applyFill="1" applyBorder="1" applyAlignment="1">
      <alignment horizontal="left" vertical="center" wrapText="1"/>
    </xf>
    <xf numFmtId="0" fontId="64" fillId="0" borderId="9" xfId="77" applyFont="1" applyBorder="1" applyAlignment="1">
      <alignment horizontal="center" vertical="center"/>
    </xf>
    <xf numFmtId="0" fontId="43" fillId="0" borderId="9" xfId="59" applyFont="1" applyFill="1" applyBorder="1" applyAlignment="1">
      <alignment horizontal="center" vertical="center" wrapText="1"/>
    </xf>
    <xf numFmtId="4" fontId="43" fillId="0" borderId="9" xfId="59" applyNumberFormat="1" applyFont="1" applyFill="1" applyBorder="1" applyAlignment="1">
      <alignment horizontal="center" vertical="center" wrapText="1"/>
    </xf>
    <xf numFmtId="0" fontId="2" fillId="0" borderId="9" xfId="59" applyFont="1" applyFill="1" applyBorder="1" applyAlignment="1">
      <alignment horizontal="center" vertical="center" wrapText="1"/>
    </xf>
    <xf numFmtId="0" fontId="2" fillId="0" borderId="9" xfId="59" applyNumberFormat="1" applyFont="1" applyFill="1" applyBorder="1" applyAlignment="1">
      <alignment horizontal="center" vertical="center" wrapText="1"/>
    </xf>
    <xf numFmtId="0" fontId="43" fillId="0" borderId="9" xfId="60" applyFont="1" applyFill="1" applyBorder="1" applyAlignment="1">
      <alignment horizontal="center" vertical="center" wrapText="1"/>
    </xf>
    <xf numFmtId="0" fontId="43" fillId="0" borderId="9" xfId="60" applyFont="1" applyFill="1" applyBorder="1" applyAlignment="1">
      <alignment horizontal="center" vertical="center"/>
    </xf>
    <xf numFmtId="0" fontId="1" fillId="0" borderId="0" xfId="59" applyFont="1" applyFill="1" applyBorder="1" applyAlignment="1">
      <alignment horizontal="left" wrapText="1"/>
    </xf>
    <xf numFmtId="49" fontId="1" fillId="0" borderId="0" xfId="59" applyNumberFormat="1" applyFont="1" applyFill="1"/>
    <xf numFmtId="0" fontId="1" fillId="0" borderId="17" xfId="59" applyFont="1" applyFill="1" applyBorder="1" applyAlignment="1">
      <alignment horizontal="justify" vertical="center" wrapText="1"/>
    </xf>
    <xf numFmtId="0" fontId="1" fillId="0" borderId="26" xfId="59" applyFont="1" applyFill="1" applyBorder="1" applyAlignment="1">
      <alignment horizontal="justify" vertical="center" wrapText="1"/>
    </xf>
    <xf numFmtId="0" fontId="2" fillId="0" borderId="27" xfId="59" applyFont="1" applyFill="1" applyBorder="1" applyAlignment="1">
      <alignment horizontal="justify" vertical="center" wrapText="1"/>
    </xf>
    <xf numFmtId="0" fontId="2" fillId="0" borderId="17" xfId="59" applyFont="1" applyFill="1" applyBorder="1" applyAlignment="1">
      <alignment horizontal="justify" vertical="center" wrapText="1"/>
    </xf>
    <xf numFmtId="0" fontId="2" fillId="0" borderId="48" xfId="59" applyFont="1" applyFill="1" applyBorder="1" applyAlignment="1">
      <alignment horizontal="justify" vertical="center" wrapText="1"/>
    </xf>
    <xf numFmtId="0" fontId="1" fillId="0" borderId="17" xfId="59" applyFont="1" applyFill="1" applyBorder="1" applyAlignment="1">
      <alignment horizontal="justify" vertical="center"/>
    </xf>
    <xf numFmtId="0" fontId="2" fillId="0" borderId="55" xfId="59" applyFont="1" applyFill="1" applyBorder="1" applyAlignment="1">
      <alignment horizontal="justify" vertical="center" wrapText="1"/>
    </xf>
    <xf numFmtId="172" fontId="1" fillId="0" borderId="0" xfId="59" applyNumberFormat="1" applyFont="1" applyFill="1" applyBorder="1" applyAlignment="1">
      <alignment horizontal="right" vertical="center"/>
    </xf>
    <xf numFmtId="0" fontId="23" fillId="0" borderId="20" xfId="59" applyFont="1" applyFill="1" applyBorder="1" applyAlignment="1">
      <alignment horizontal="center" vertical="center"/>
    </xf>
    <xf numFmtId="0" fontId="23" fillId="0" borderId="21" xfId="59" applyFont="1" applyFill="1" applyBorder="1" applyAlignment="1">
      <alignment horizontal="center" vertical="center"/>
    </xf>
    <xf numFmtId="0" fontId="23" fillId="0" borderId="22" xfId="59" applyFont="1" applyFill="1" applyBorder="1" applyAlignment="1">
      <alignment horizontal="center" vertical="center"/>
    </xf>
    <xf numFmtId="172" fontId="1" fillId="0" borderId="24" xfId="59" applyNumberFormat="1" applyFont="1" applyFill="1" applyBorder="1" applyAlignment="1">
      <alignment horizontal="right" vertical="center"/>
    </xf>
    <xf numFmtId="172" fontId="1" fillId="0" borderId="15" xfId="59" applyNumberFormat="1" applyFont="1" applyFill="1" applyBorder="1" applyAlignment="1">
      <alignment horizontal="right" vertical="center"/>
    </xf>
    <xf numFmtId="172" fontId="2" fillId="0" borderId="63" xfId="59" applyNumberFormat="1" applyFont="1" applyFill="1" applyBorder="1" applyAlignment="1">
      <alignment horizontal="right" vertical="center"/>
    </xf>
    <xf numFmtId="172" fontId="2" fillId="0" borderId="44" xfId="59" applyNumberFormat="1" applyFont="1" applyFill="1" applyBorder="1" applyAlignment="1">
      <alignment horizontal="right" vertical="center"/>
    </xf>
    <xf numFmtId="172" fontId="2" fillId="0" borderId="64" xfId="59" applyNumberFormat="1" applyFont="1" applyFill="1" applyBorder="1" applyAlignment="1">
      <alignment horizontal="right" vertical="center"/>
    </xf>
    <xf numFmtId="172" fontId="1" fillId="0" borderId="63" xfId="59" applyNumberFormat="1" applyFont="1" applyFill="1" applyBorder="1" applyAlignment="1">
      <alignment horizontal="right" vertical="center"/>
    </xf>
    <xf numFmtId="172" fontId="1" fillId="0" borderId="44" xfId="59" applyNumberFormat="1" applyFont="1" applyFill="1" applyBorder="1" applyAlignment="1">
      <alignment horizontal="right" vertical="center"/>
    </xf>
    <xf numFmtId="172" fontId="2" fillId="28" borderId="41" xfId="59" applyNumberFormat="1" applyFont="1" applyFill="1" applyBorder="1" applyAlignment="1">
      <alignment horizontal="right" vertical="center"/>
    </xf>
    <xf numFmtId="172" fontId="1" fillId="28" borderId="9" xfId="59" applyNumberFormat="1" applyFont="1" applyFill="1" applyBorder="1" applyAlignment="1">
      <alignment horizontal="right" vertical="center" wrapText="1"/>
    </xf>
    <xf numFmtId="172" fontId="1" fillId="28" borderId="9" xfId="59" applyNumberFormat="1" applyFont="1" applyFill="1" applyBorder="1"/>
    <xf numFmtId="168" fontId="1" fillId="28" borderId="9" xfId="59" applyNumberFormat="1" applyFont="1" applyFill="1" applyBorder="1"/>
    <xf numFmtId="172" fontId="2" fillId="28" borderId="9" xfId="59" applyNumberFormat="1" applyFont="1" applyFill="1" applyBorder="1"/>
    <xf numFmtId="172" fontId="28" fillId="28" borderId="19" xfId="0" applyNumberFormat="1" applyFont="1" applyFill="1" applyBorder="1"/>
    <xf numFmtId="172" fontId="28" fillId="28" borderId="9" xfId="0" applyNumberFormat="1" applyFont="1" applyFill="1" applyBorder="1" applyAlignment="1">
      <alignment horizontal="left" indent="3"/>
    </xf>
    <xf numFmtId="172" fontId="28" fillId="28" borderId="9" xfId="0" applyNumberFormat="1" applyFont="1" applyFill="1" applyBorder="1"/>
    <xf numFmtId="172" fontId="28" fillId="28" borderId="9" xfId="0" applyNumberFormat="1" applyFont="1" applyFill="1" applyBorder="1" applyAlignment="1">
      <alignment horizontal="left" indent="1"/>
    </xf>
    <xf numFmtId="172" fontId="28" fillId="28" borderId="9" xfId="0" applyNumberFormat="1" applyFont="1" applyFill="1" applyBorder="1" applyAlignment="1">
      <alignment vertical="top" wrapText="1"/>
    </xf>
    <xf numFmtId="172" fontId="28" fillId="28" borderId="9" xfId="0" applyNumberFormat="1" applyFont="1" applyFill="1" applyBorder="1" applyAlignment="1"/>
    <xf numFmtId="172" fontId="1" fillId="28" borderId="9" xfId="0" applyNumberFormat="1" applyFont="1" applyFill="1" applyBorder="1" applyAlignment="1"/>
    <xf numFmtId="172" fontId="1" fillId="0" borderId="9" xfId="0" applyNumberFormat="1" applyFont="1" applyBorder="1" applyAlignment="1">
      <alignment horizontal="right"/>
    </xf>
    <xf numFmtId="172" fontId="1" fillId="0" borderId="9" xfId="0" applyNumberFormat="1" applyFont="1" applyFill="1" applyBorder="1" applyAlignment="1">
      <alignment horizontal="right"/>
    </xf>
    <xf numFmtId="172" fontId="1" fillId="0" borderId="9" xfId="0" applyNumberFormat="1" applyFont="1" applyBorder="1" applyAlignment="1"/>
    <xf numFmtId="4" fontId="42" fillId="0" borderId="9" xfId="61" applyNumberFormat="1" applyFont="1" applyFill="1" applyBorder="1" applyAlignment="1" applyProtection="1">
      <alignment horizontal="center" vertical="center"/>
    </xf>
    <xf numFmtId="172" fontId="2" fillId="28" borderId="36" xfId="59" applyNumberFormat="1" applyFont="1" applyFill="1" applyBorder="1" applyAlignment="1">
      <alignment horizontal="right" vertical="center"/>
    </xf>
    <xf numFmtId="2" fontId="1" fillId="0" borderId="0" xfId="59" applyNumberFormat="1" applyFont="1"/>
    <xf numFmtId="0" fontId="22" fillId="0" borderId="41" xfId="59" applyFont="1" applyFill="1" applyBorder="1" applyAlignment="1">
      <alignment horizontal="center" vertical="center" wrapText="1"/>
    </xf>
    <xf numFmtId="3" fontId="39" fillId="28" borderId="9" xfId="59" applyNumberFormat="1" applyFont="1" applyFill="1" applyBorder="1" applyAlignment="1">
      <alignment vertical="center"/>
    </xf>
    <xf numFmtId="0" fontId="42" fillId="28" borderId="9" xfId="60" applyFont="1" applyFill="1" applyBorder="1" applyAlignment="1">
      <alignment horizontal="right" vertical="center"/>
    </xf>
    <xf numFmtId="0" fontId="43" fillId="28" borderId="9" xfId="60" applyFont="1" applyFill="1" applyBorder="1" applyAlignment="1">
      <alignment horizontal="center" vertical="center" wrapText="1"/>
    </xf>
    <xf numFmtId="4" fontId="42" fillId="28" borderId="9" xfId="60" applyNumberFormat="1" applyFont="1" applyFill="1" applyBorder="1" applyAlignment="1">
      <alignment horizontal="right" vertical="center" wrapText="1"/>
    </xf>
    <xf numFmtId="0" fontId="43" fillId="28" borderId="9" xfId="60" applyFont="1" applyFill="1" applyBorder="1" applyAlignment="1">
      <alignment horizontal="right" vertical="center"/>
    </xf>
    <xf numFmtId="0" fontId="1" fillId="0" borderId="16" xfId="59" applyFont="1" applyFill="1" applyBorder="1" applyAlignment="1">
      <alignment horizontal="center" vertical="center" wrapText="1"/>
    </xf>
    <xf numFmtId="0" fontId="1" fillId="0" borderId="16" xfId="59" applyNumberFormat="1" applyFont="1" applyFill="1" applyBorder="1" applyAlignment="1">
      <alignment horizontal="center" vertical="center"/>
    </xf>
    <xf numFmtId="0" fontId="2" fillId="0" borderId="16" xfId="59" applyFont="1" applyFill="1" applyBorder="1" applyAlignment="1">
      <alignment horizontal="left" vertical="center"/>
    </xf>
    <xf numFmtId="0" fontId="1" fillId="0" borderId="14" xfId="59" applyFont="1" applyFill="1" applyBorder="1"/>
    <xf numFmtId="0" fontId="1" fillId="0" borderId="20" xfId="59" applyFont="1" applyFill="1" applyBorder="1" applyAlignment="1">
      <alignment horizontal="left" vertical="center"/>
    </xf>
    <xf numFmtId="0" fontId="1" fillId="0" borderId="21" xfId="59" applyFont="1" applyFill="1" applyBorder="1" applyAlignment="1">
      <alignment horizontal="right" vertical="center" wrapText="1"/>
    </xf>
    <xf numFmtId="0" fontId="1" fillId="0" borderId="21" xfId="59" applyFont="1" applyFill="1" applyBorder="1"/>
    <xf numFmtId="0" fontId="1" fillId="0" borderId="22" xfId="59" applyFont="1" applyFill="1" applyBorder="1"/>
    <xf numFmtId="172" fontId="1" fillId="0" borderId="19" xfId="59" applyNumberFormat="1" applyFont="1" applyFill="1" applyBorder="1" applyAlignment="1">
      <alignment horizontal="center" vertical="center" wrapText="1"/>
    </xf>
    <xf numFmtId="0" fontId="1" fillId="0" borderId="0" xfId="59" applyFont="1" applyAlignment="1">
      <alignment horizontal="right"/>
    </xf>
    <xf numFmtId="0" fontId="1" fillId="0" borderId="0" xfId="59" applyFont="1"/>
    <xf numFmtId="172" fontId="1" fillId="0" borderId="0" xfId="59" applyNumberFormat="1" applyFont="1" applyFill="1" applyAlignment="1">
      <alignment vertical="center"/>
    </xf>
    <xf numFmtId="0" fontId="1" fillId="0" borderId="17" xfId="59" applyFont="1" applyFill="1" applyBorder="1"/>
    <xf numFmtId="172" fontId="1" fillId="0" borderId="25" xfId="59" applyNumberFormat="1" applyFont="1" applyFill="1" applyBorder="1" applyAlignment="1">
      <alignment horizontal="right" vertical="center"/>
    </xf>
    <xf numFmtId="172" fontId="1" fillId="0" borderId="42" xfId="59" applyNumberFormat="1" applyFont="1" applyFill="1" applyBorder="1" applyAlignment="1">
      <alignment horizontal="right" vertical="center"/>
    </xf>
    <xf numFmtId="172" fontId="1" fillId="0" borderId="64" xfId="59" applyNumberFormat="1" applyFont="1" applyFill="1" applyBorder="1" applyAlignment="1">
      <alignment horizontal="right" vertical="center"/>
    </xf>
    <xf numFmtId="172" fontId="1" fillId="0" borderId="16" xfId="59" applyNumberFormat="1" applyFont="1" applyFill="1" applyBorder="1" applyAlignment="1">
      <alignment vertical="center"/>
    </xf>
    <xf numFmtId="172" fontId="1" fillId="0" borderId="9" xfId="59" applyNumberFormat="1" applyFont="1" applyFill="1" applyBorder="1" applyAlignment="1">
      <alignment vertical="center"/>
    </xf>
    <xf numFmtId="172" fontId="1" fillId="0" borderId="14" xfId="59" applyNumberFormat="1" applyFont="1" applyFill="1" applyBorder="1" applyAlignment="1">
      <alignment vertical="center"/>
    </xf>
    <xf numFmtId="172" fontId="1" fillId="0" borderId="20" xfId="59" applyNumberFormat="1" applyFont="1" applyFill="1" applyBorder="1" applyAlignment="1">
      <alignment vertical="center"/>
    </xf>
    <xf numFmtId="172" fontId="1" fillId="0" borderId="21" xfId="59" applyNumberFormat="1" applyFont="1" applyFill="1" applyBorder="1" applyAlignment="1">
      <alignment vertical="center"/>
    </xf>
    <xf numFmtId="172" fontId="1" fillId="0" borderId="22" xfId="59" applyNumberFormat="1" applyFont="1" applyFill="1" applyBorder="1" applyAlignment="1">
      <alignment vertical="center"/>
    </xf>
    <xf numFmtId="172" fontId="2" fillId="28" borderId="16" xfId="59" applyNumberFormat="1" applyFont="1" applyFill="1" applyBorder="1" applyAlignment="1">
      <alignment horizontal="right" vertical="center"/>
    </xf>
    <xf numFmtId="172" fontId="2" fillId="28" borderId="9" xfId="59" applyNumberFormat="1" applyFont="1" applyFill="1" applyBorder="1" applyAlignment="1">
      <alignment horizontal="right" vertical="center"/>
    </xf>
    <xf numFmtId="172" fontId="2" fillId="28" borderId="14" xfId="59" applyNumberFormat="1" applyFont="1" applyFill="1" applyBorder="1" applyAlignment="1">
      <alignment horizontal="right" vertical="center"/>
    </xf>
    <xf numFmtId="172" fontId="1" fillId="28" borderId="16" xfId="59" applyNumberFormat="1" applyFont="1" applyFill="1" applyBorder="1" applyAlignment="1">
      <alignment horizontal="right" vertical="center"/>
    </xf>
    <xf numFmtId="172" fontId="1" fillId="28" borderId="9" xfId="59" applyNumberFormat="1" applyFont="1" applyFill="1" applyBorder="1" applyAlignment="1">
      <alignment horizontal="right" vertical="center"/>
    </xf>
    <xf numFmtId="172" fontId="1" fillId="28" borderId="14" xfId="59" applyNumberFormat="1" applyFont="1" applyFill="1" applyBorder="1" applyAlignment="1">
      <alignment horizontal="right" vertical="center"/>
    </xf>
    <xf numFmtId="0" fontId="2" fillId="28" borderId="20" xfId="59" applyFont="1" applyFill="1" applyBorder="1" applyAlignment="1">
      <alignment horizontal="center" vertical="center"/>
    </xf>
    <xf numFmtId="0" fontId="2" fillId="28" borderId="26" xfId="59" applyFont="1" applyFill="1" applyBorder="1" applyAlignment="1">
      <alignment horizontal="justify" vertical="center" wrapText="1"/>
    </xf>
    <xf numFmtId="172" fontId="2" fillId="28" borderId="46" xfId="59" applyNumberFormat="1" applyFont="1" applyFill="1" applyBorder="1" applyAlignment="1">
      <alignment horizontal="right" vertical="center"/>
    </xf>
    <xf numFmtId="172" fontId="2" fillId="28" borderId="47" xfId="59" applyNumberFormat="1" applyFont="1" applyFill="1" applyBorder="1" applyAlignment="1">
      <alignment horizontal="right" vertical="center"/>
    </xf>
    <xf numFmtId="172" fontId="2" fillId="28" borderId="49" xfId="59" applyNumberFormat="1" applyFont="1" applyFill="1" applyBorder="1" applyAlignment="1">
      <alignment horizontal="right" vertical="center"/>
    </xf>
    <xf numFmtId="4" fontId="42" fillId="28" borderId="9" xfId="59" applyNumberFormat="1" applyFont="1" applyFill="1" applyBorder="1" applyAlignment="1">
      <alignment horizontal="center" vertical="center"/>
    </xf>
    <xf numFmtId="172" fontId="2" fillId="28" borderId="37" xfId="59" applyNumberFormat="1" applyFont="1" applyFill="1" applyBorder="1" applyAlignment="1">
      <alignment horizontal="right" vertical="center"/>
    </xf>
    <xf numFmtId="168" fontId="1" fillId="0" borderId="0" xfId="59" applyNumberFormat="1" applyFont="1"/>
    <xf numFmtId="172" fontId="2" fillId="0" borderId="0" xfId="59" applyNumberFormat="1" applyFont="1" applyBorder="1" applyAlignment="1">
      <alignment horizontal="center" vertical="center" wrapText="1"/>
    </xf>
    <xf numFmtId="168" fontId="1" fillId="28" borderId="14" xfId="59" applyNumberFormat="1" applyFont="1" applyFill="1" applyBorder="1" applyAlignment="1">
      <alignment horizontal="right" vertical="center" wrapText="1"/>
    </xf>
    <xf numFmtId="168" fontId="1" fillId="28" borderId="14" xfId="59" applyNumberFormat="1" applyFont="1" applyFill="1" applyBorder="1"/>
    <xf numFmtId="168" fontId="2" fillId="28" borderId="14" xfId="59" applyNumberFormat="1" applyFont="1" applyFill="1" applyBorder="1"/>
    <xf numFmtId="0" fontId="2" fillId="0" borderId="18" xfId="59" applyFont="1" applyBorder="1" applyAlignment="1">
      <alignment horizontal="center" vertical="center" wrapText="1"/>
    </xf>
    <xf numFmtId="0" fontId="2" fillId="0" borderId="19" xfId="59" applyFont="1" applyBorder="1" applyAlignment="1">
      <alignment horizontal="center" vertical="center" wrapText="1"/>
    </xf>
    <xf numFmtId="0" fontId="2" fillId="28" borderId="19" xfId="59" applyFont="1" applyFill="1" applyBorder="1" applyAlignment="1">
      <alignment horizontal="center" vertical="center" wrapText="1"/>
    </xf>
    <xf numFmtId="0" fontId="2" fillId="28" borderId="23" xfId="59" applyFont="1" applyFill="1" applyBorder="1" applyAlignment="1">
      <alignment horizontal="center" vertical="center" wrapText="1"/>
    </xf>
    <xf numFmtId="0" fontId="2" fillId="0" borderId="50" xfId="59" applyFont="1" applyBorder="1" applyAlignment="1">
      <alignment horizontal="center" vertical="center" wrapText="1"/>
    </xf>
    <xf numFmtId="0" fontId="2" fillId="0" borderId="51" xfId="59" applyFont="1" applyBorder="1" applyAlignment="1">
      <alignment horizontal="center" vertical="center" wrapText="1"/>
    </xf>
    <xf numFmtId="0" fontId="2" fillId="28" borderId="51" xfId="59" applyFont="1" applyFill="1" applyBorder="1" applyAlignment="1">
      <alignment horizontal="center" vertical="center" wrapText="1"/>
    </xf>
    <xf numFmtId="0" fontId="2" fillId="28" borderId="53" xfId="59" applyFont="1" applyFill="1" applyBorder="1" applyAlignment="1">
      <alignment horizontal="center" vertical="center" wrapText="1"/>
    </xf>
    <xf numFmtId="0" fontId="43" fillId="0" borderId="9" xfId="59" applyFont="1" applyFill="1" applyBorder="1" applyAlignment="1">
      <alignment horizontal="center" vertical="center" wrapText="1"/>
    </xf>
    <xf numFmtId="4" fontId="43" fillId="0" borderId="9" xfId="59" applyNumberFormat="1" applyFont="1" applyFill="1" applyBorder="1" applyAlignment="1">
      <alignment horizontal="center" vertical="center" wrapText="1"/>
    </xf>
    <xf numFmtId="49" fontId="43" fillId="0" borderId="9" xfId="59" applyNumberFormat="1" applyFont="1" applyFill="1" applyBorder="1" applyAlignment="1">
      <alignment horizontal="center" vertical="center" wrapText="1"/>
    </xf>
    <xf numFmtId="0" fontId="34" fillId="0" borderId="9" xfId="59" applyFont="1" applyFill="1" applyBorder="1" applyAlignment="1">
      <alignment horizontal="center" vertical="center" wrapText="1"/>
    </xf>
    <xf numFmtId="0" fontId="2" fillId="0" borderId="9" xfId="59" applyFont="1" applyFill="1" applyBorder="1" applyAlignment="1">
      <alignment horizontal="center" vertical="center" wrapText="1"/>
    </xf>
    <xf numFmtId="0" fontId="2" fillId="0" borderId="9" xfId="59" applyFont="1" applyFill="1" applyBorder="1" applyAlignment="1">
      <alignment horizontal="center" vertical="center"/>
    </xf>
    <xf numFmtId="0" fontId="2" fillId="0" borderId="9" xfId="59" applyNumberFormat="1" applyFont="1" applyFill="1" applyBorder="1" applyAlignment="1">
      <alignment horizontal="center"/>
    </xf>
    <xf numFmtId="0" fontId="2" fillId="0" borderId="9" xfId="59" applyFont="1" applyFill="1" applyBorder="1" applyAlignment="1">
      <alignment horizontal="center"/>
    </xf>
    <xf numFmtId="0" fontId="2" fillId="0" borderId="17" xfId="59" applyFont="1" applyFill="1" applyBorder="1" applyAlignment="1">
      <alignment horizontal="center"/>
    </xf>
    <xf numFmtId="4" fontId="43" fillId="0" borderId="9" xfId="59" applyNumberFormat="1" applyFont="1" applyFill="1" applyBorder="1" applyAlignment="1">
      <alignment horizontal="center" vertical="center" wrapText="1"/>
    </xf>
    <xf numFmtId="0" fontId="43" fillId="0" borderId="9" xfId="59" applyNumberFormat="1" applyFont="1" applyFill="1" applyBorder="1" applyAlignment="1">
      <alignment horizontal="left" vertical="center" wrapText="1"/>
    </xf>
    <xf numFmtId="0" fontId="22" fillId="0" borderId="40" xfId="59" applyFont="1" applyFill="1" applyBorder="1" applyAlignment="1">
      <alignment horizontal="center" vertical="center" wrapText="1"/>
    </xf>
    <xf numFmtId="172" fontId="2" fillId="0" borderId="37" xfId="59" applyNumberFormat="1" applyFont="1" applyFill="1" applyBorder="1" applyAlignment="1">
      <alignment horizontal="right" vertical="center"/>
    </xf>
    <xf numFmtId="172" fontId="2" fillId="0" borderId="43" xfId="59" applyNumberFormat="1" applyFont="1" applyFill="1" applyBorder="1" applyAlignment="1">
      <alignment horizontal="right" vertical="center"/>
    </xf>
    <xf numFmtId="172" fontId="2" fillId="28" borderId="50" xfId="59" applyNumberFormat="1" applyFont="1" applyFill="1" applyBorder="1" applyAlignment="1">
      <alignment horizontal="right" vertical="center"/>
    </xf>
    <xf numFmtId="172" fontId="2" fillId="28" borderId="51" xfId="59" applyNumberFormat="1" applyFont="1" applyFill="1" applyBorder="1" applyAlignment="1">
      <alignment horizontal="right" vertical="center"/>
    </xf>
    <xf numFmtId="172" fontId="2" fillId="28" borderId="53" xfId="59" applyNumberFormat="1" applyFont="1" applyFill="1" applyBorder="1" applyAlignment="1">
      <alignment horizontal="right" vertical="center"/>
    </xf>
    <xf numFmtId="0" fontId="61" fillId="0" borderId="0" xfId="77" applyFont="1" applyAlignment="1">
      <alignment wrapText="1"/>
    </xf>
    <xf numFmtId="0" fontId="61" fillId="0" borderId="9" xfId="77" applyFont="1" applyBorder="1" applyAlignment="1">
      <alignment horizontal="center"/>
    </xf>
    <xf numFmtId="0" fontId="61" fillId="0" borderId="9" xfId="77" applyFont="1" applyFill="1" applyBorder="1" applyAlignment="1">
      <alignment horizontal="center"/>
    </xf>
    <xf numFmtId="0" fontId="61" fillId="0" borderId="9" xfId="77" applyFont="1" applyBorder="1" applyAlignment="1">
      <alignment vertical="center" wrapText="1"/>
    </xf>
    <xf numFmtId="0" fontId="61" fillId="0" borderId="9" xfId="77" applyFont="1" applyBorder="1" applyAlignment="1">
      <alignment horizontal="center" vertical="center"/>
    </xf>
    <xf numFmtId="0" fontId="61" fillId="0" borderId="0" xfId="77" applyFont="1" applyAlignment="1"/>
    <xf numFmtId="4" fontId="20" fillId="0" borderId="0" xfId="59" applyNumberFormat="1" applyFont="1" applyFill="1" applyAlignment="1">
      <alignment horizontal="right"/>
    </xf>
    <xf numFmtId="0" fontId="2" fillId="0" borderId="9" xfId="59" applyFont="1" applyBorder="1" applyAlignment="1">
      <alignment horizontal="center" vertical="center" wrapText="1"/>
    </xf>
    <xf numFmtId="0" fontId="43" fillId="0" borderId="0" xfId="59" applyFont="1" applyFill="1" applyBorder="1" applyAlignment="1">
      <alignment vertical="top" wrapText="1"/>
    </xf>
    <xf numFmtId="0" fontId="43" fillId="0" borderId="9" xfId="60" applyFont="1" applyFill="1" applyBorder="1" applyAlignment="1">
      <alignment horizontal="center" vertical="center" wrapText="1"/>
    </xf>
    <xf numFmtId="0" fontId="43" fillId="0" borderId="9" xfId="60" applyFont="1" applyFill="1" applyBorder="1" applyAlignment="1">
      <alignment horizontal="center" vertical="center" wrapText="1"/>
    </xf>
    <xf numFmtId="4" fontId="36" fillId="27" borderId="30" xfId="59" applyNumberFormat="1" applyFont="1" applyFill="1" applyBorder="1" applyAlignment="1">
      <alignment vertical="center"/>
    </xf>
    <xf numFmtId="4" fontId="36" fillId="30" borderId="30" xfId="59" applyNumberFormat="1" applyFont="1" applyFill="1" applyBorder="1" applyAlignment="1">
      <alignment vertical="center"/>
    </xf>
    <xf numFmtId="3" fontId="39" fillId="27" borderId="21" xfId="59" applyNumberFormat="1" applyFont="1" applyFill="1" applyBorder="1" applyAlignment="1">
      <alignment vertical="center"/>
    </xf>
    <xf numFmtId="0" fontId="70" fillId="0" borderId="0" xfId="59" applyFont="1" applyAlignment="1">
      <alignment horizontal="center" vertical="center"/>
    </xf>
    <xf numFmtId="2" fontId="42" fillId="28" borderId="9" xfId="60" applyNumberFormat="1" applyFont="1" applyFill="1" applyBorder="1" applyAlignment="1">
      <alignment horizontal="right" vertical="center"/>
    </xf>
    <xf numFmtId="4" fontId="42" fillId="28" borderId="9" xfId="60" applyNumberFormat="1" applyFont="1" applyFill="1" applyBorder="1" applyAlignment="1">
      <alignment horizontal="right" vertical="center"/>
    </xf>
    <xf numFmtId="4" fontId="43" fillId="28" borderId="9" xfId="60" applyNumberFormat="1" applyFont="1" applyFill="1" applyBorder="1" applyAlignment="1">
      <alignment horizontal="right" vertical="center"/>
    </xf>
    <xf numFmtId="4" fontId="43" fillId="0" borderId="9" xfId="60" applyNumberFormat="1" applyFont="1" applyFill="1" applyBorder="1" applyAlignment="1">
      <alignment horizontal="right" vertical="center"/>
    </xf>
    <xf numFmtId="4" fontId="42" fillId="0" borderId="9" xfId="60" applyNumberFormat="1" applyFont="1" applyFill="1" applyBorder="1" applyAlignment="1">
      <alignment horizontal="right" vertical="center"/>
    </xf>
    <xf numFmtId="10" fontId="42" fillId="28" borderId="9" xfId="60" applyNumberFormat="1" applyFont="1" applyFill="1" applyBorder="1" applyAlignment="1">
      <alignment horizontal="right" vertical="center"/>
    </xf>
    <xf numFmtId="10" fontId="42" fillId="0" borderId="9" xfId="60" applyNumberFormat="1" applyFont="1" applyFill="1" applyBorder="1" applyAlignment="1">
      <alignment horizontal="right" vertical="center"/>
    </xf>
    <xf numFmtId="3" fontId="39" fillId="28" borderId="21" xfId="59" applyNumberFormat="1" applyFont="1" applyFill="1" applyBorder="1" applyAlignment="1">
      <alignment vertical="center"/>
    </xf>
    <xf numFmtId="2" fontId="1" fillId="0" borderId="16" xfId="59" applyNumberFormat="1" applyFont="1" applyFill="1" applyBorder="1" applyAlignment="1">
      <alignment horizontal="right" vertical="center"/>
    </xf>
    <xf numFmtId="2" fontId="1" fillId="0" borderId="9" xfId="59" applyNumberFormat="1" applyFont="1" applyFill="1" applyBorder="1" applyAlignment="1">
      <alignment horizontal="right" vertical="center"/>
    </xf>
    <xf numFmtId="172" fontId="66" fillId="0" borderId="16" xfId="59" applyNumberFormat="1" applyFont="1" applyFill="1" applyBorder="1" applyAlignment="1">
      <alignment horizontal="right" vertical="center"/>
    </xf>
    <xf numFmtId="0" fontId="1" fillId="0" borderId="9" xfId="59" applyFont="1" applyFill="1" applyBorder="1" applyAlignment="1">
      <alignment vertical="center"/>
    </xf>
    <xf numFmtId="172" fontId="2" fillId="28" borderId="60" xfId="59" applyNumberFormat="1" applyFont="1" applyFill="1" applyBorder="1" applyAlignment="1">
      <alignment horizontal="right" vertical="center"/>
    </xf>
    <xf numFmtId="172" fontId="1" fillId="28" borderId="37" xfId="59" applyNumberFormat="1" applyFont="1" applyFill="1" applyBorder="1" applyAlignment="1">
      <alignment horizontal="right" vertical="center"/>
    </xf>
    <xf numFmtId="172" fontId="1" fillId="28" borderId="32" xfId="59" applyNumberFormat="1" applyFont="1" applyFill="1" applyBorder="1" applyAlignment="1">
      <alignment horizontal="right" vertical="center"/>
    </xf>
    <xf numFmtId="172" fontId="1" fillId="28" borderId="61" xfId="59" applyNumberFormat="1" applyFont="1" applyFill="1" applyBorder="1" applyAlignment="1">
      <alignment horizontal="right" vertical="center"/>
    </xf>
    <xf numFmtId="172" fontId="1" fillId="28" borderId="21" xfId="59" applyNumberFormat="1" applyFont="1" applyFill="1" applyBorder="1" applyAlignment="1">
      <alignment horizontal="right" vertical="center"/>
    </xf>
    <xf numFmtId="172" fontId="2" fillId="0" borderId="65" xfId="59" applyNumberFormat="1" applyFont="1" applyFill="1" applyBorder="1" applyAlignment="1">
      <alignment vertical="center"/>
    </xf>
    <xf numFmtId="172" fontId="2" fillId="0" borderId="66" xfId="59" applyNumberFormat="1" applyFont="1" applyFill="1" applyBorder="1" applyAlignment="1">
      <alignment vertical="center"/>
    </xf>
    <xf numFmtId="172" fontId="2" fillId="0" borderId="67" xfId="59" applyNumberFormat="1" applyFont="1" applyFill="1" applyBorder="1" applyAlignment="1">
      <alignment vertical="center"/>
    </xf>
    <xf numFmtId="0" fontId="1" fillId="0" borderId="14" xfId="59" applyFont="1" applyFill="1" applyBorder="1" applyAlignment="1">
      <alignment vertical="center"/>
    </xf>
    <xf numFmtId="172" fontId="28" fillId="28" borderId="9" xfId="0" applyNumberFormat="1" applyFont="1" applyFill="1" applyBorder="1" applyAlignment="1">
      <alignment horizontal="right"/>
    </xf>
    <xf numFmtId="172" fontId="2" fillId="0" borderId="19" xfId="59" applyNumberFormat="1" applyFont="1" applyFill="1" applyBorder="1" applyAlignment="1">
      <alignment horizontal="center" vertical="center" wrapText="1"/>
    </xf>
    <xf numFmtId="0" fontId="67" fillId="0" borderId="0" xfId="59" applyFont="1" applyAlignment="1">
      <alignment vertical="center"/>
    </xf>
    <xf numFmtId="49" fontId="67" fillId="0" borderId="0" xfId="59" applyNumberFormat="1" applyFont="1" applyAlignment="1">
      <alignment vertical="center"/>
    </xf>
    <xf numFmtId="4" fontId="35" fillId="29" borderId="30" xfId="59" applyNumberFormat="1" applyFont="1" applyFill="1" applyBorder="1" applyAlignment="1">
      <alignment vertical="center"/>
    </xf>
    <xf numFmtId="0" fontId="31" fillId="0" borderId="0" xfId="59" applyFont="1" applyFill="1" applyBorder="1" applyAlignment="1">
      <alignment horizontal="right"/>
    </xf>
    <xf numFmtId="0" fontId="2" fillId="0" borderId="17" xfId="59" applyFont="1" applyBorder="1" applyAlignment="1">
      <alignment horizontal="center" vertical="center" wrapText="1"/>
    </xf>
    <xf numFmtId="0" fontId="1" fillId="0" borderId="68" xfId="59" applyFont="1" applyFill="1" applyBorder="1" applyAlignment="1">
      <alignment horizontal="center" vertical="center" wrapText="1"/>
    </xf>
    <xf numFmtId="0" fontId="1" fillId="0" borderId="37" xfId="59" applyFont="1" applyFill="1" applyBorder="1" applyAlignment="1">
      <alignment horizontal="center" vertical="center"/>
    </xf>
    <xf numFmtId="0" fontId="1" fillId="0" borderId="37" xfId="59" applyNumberFormat="1" applyFont="1" applyFill="1" applyBorder="1" applyAlignment="1">
      <alignment horizontal="center" vertical="center"/>
    </xf>
    <xf numFmtId="0" fontId="2" fillId="0" borderId="37" xfId="59" applyFont="1" applyFill="1" applyBorder="1" applyAlignment="1">
      <alignment horizontal="left" vertical="center"/>
    </xf>
    <xf numFmtId="0" fontId="1" fillId="0" borderId="37" xfId="59" applyFont="1" applyFill="1" applyBorder="1" applyAlignment="1">
      <alignment horizontal="left" vertical="center"/>
    </xf>
    <xf numFmtId="0" fontId="1" fillId="0" borderId="61" xfId="59" applyFont="1" applyFill="1" applyBorder="1" applyAlignment="1">
      <alignment horizontal="left" vertical="center"/>
    </xf>
    <xf numFmtId="0" fontId="2" fillId="0" borderId="40" xfId="59" applyFont="1" applyBorder="1" applyAlignment="1">
      <alignment horizontal="center" vertical="center" wrapText="1"/>
    </xf>
    <xf numFmtId="0" fontId="2" fillId="0" borderId="41" xfId="59" applyFont="1" applyBorder="1" applyAlignment="1">
      <alignment horizontal="center" vertical="center" wrapText="1"/>
    </xf>
    <xf numFmtId="0" fontId="2" fillId="0" borderId="42" xfId="59" applyFont="1" applyBorder="1" applyAlignment="1">
      <alignment horizontal="center" vertical="center" wrapText="1"/>
    </xf>
    <xf numFmtId="0" fontId="2" fillId="0" borderId="16" xfId="59" applyFont="1" applyBorder="1" applyAlignment="1">
      <alignment horizontal="center" vertical="center" wrapText="1"/>
    </xf>
    <xf numFmtId="0" fontId="2" fillId="0" borderId="14" xfId="59" applyFont="1" applyBorder="1" applyAlignment="1">
      <alignment horizontal="center" vertical="center" wrapText="1"/>
    </xf>
    <xf numFmtId="0" fontId="1" fillId="0" borderId="18" xfId="59" applyFont="1" applyFill="1" applyBorder="1" applyAlignment="1">
      <alignment horizontal="left" vertical="center" wrapText="1"/>
    </xf>
    <xf numFmtId="172" fontId="1" fillId="0" borderId="23" xfId="59" applyNumberFormat="1" applyFont="1" applyFill="1" applyBorder="1" applyAlignment="1">
      <alignment horizontal="center" vertical="center" wrapText="1"/>
    </xf>
    <xf numFmtId="0" fontId="1" fillId="0" borderId="16" xfId="59" applyFont="1" applyFill="1" applyBorder="1" applyAlignment="1">
      <alignment horizontal="left" vertical="center" wrapText="1"/>
    </xf>
    <xf numFmtId="0" fontId="2" fillId="0" borderId="16" xfId="59" applyFont="1" applyFill="1" applyBorder="1" applyAlignment="1">
      <alignment horizontal="left" vertical="center" wrapText="1"/>
    </xf>
    <xf numFmtId="172" fontId="2" fillId="0" borderId="23" xfId="59" applyNumberFormat="1" applyFont="1" applyFill="1" applyBorder="1" applyAlignment="1">
      <alignment horizontal="center" vertical="center" wrapText="1"/>
    </xf>
    <xf numFmtId="0" fontId="1" fillId="0" borderId="16" xfId="59" applyFont="1" applyFill="1" applyBorder="1" applyAlignment="1">
      <alignment horizontal="right" vertical="center" wrapText="1"/>
    </xf>
    <xf numFmtId="0" fontId="1" fillId="0" borderId="20" xfId="59" applyFont="1" applyFill="1" applyBorder="1" applyAlignment="1">
      <alignment horizontal="right" vertical="center" wrapText="1"/>
    </xf>
    <xf numFmtId="172" fontId="1" fillId="0" borderId="47" xfId="59" applyNumberFormat="1" applyFont="1" applyFill="1" applyBorder="1" applyAlignment="1">
      <alignment horizontal="center" vertical="center" wrapText="1"/>
    </xf>
    <xf numFmtId="172" fontId="1" fillId="0" borderId="49" xfId="59" applyNumberFormat="1" applyFont="1" applyFill="1" applyBorder="1" applyAlignment="1">
      <alignment horizontal="center" vertical="center" wrapText="1"/>
    </xf>
    <xf numFmtId="0" fontId="31" fillId="0" borderId="0" xfId="59" applyFont="1" applyFill="1" applyBorder="1" applyAlignment="1">
      <alignment horizontal="right" vertical="top"/>
    </xf>
    <xf numFmtId="0" fontId="1" fillId="0" borderId="0" xfId="59" applyFont="1" applyFill="1" applyBorder="1" applyAlignment="1">
      <alignment horizontal="right"/>
    </xf>
    <xf numFmtId="0" fontId="1" fillId="0" borderId="0" xfId="59" applyFont="1" applyFill="1" applyBorder="1" applyAlignment="1">
      <alignment horizontal="right" vertical="top"/>
    </xf>
    <xf numFmtId="0" fontId="42" fillId="0" borderId="0" xfId="78" applyFont="1" applyFill="1" applyAlignment="1">
      <alignment horizontal="right"/>
    </xf>
    <xf numFmtId="0" fontId="39" fillId="0" borderId="0" xfId="59" applyFont="1" applyFill="1" applyBorder="1" applyAlignment="1">
      <alignment horizontal="right"/>
    </xf>
    <xf numFmtId="0" fontId="39" fillId="0" borderId="0" xfId="59" applyFont="1" applyFill="1" applyBorder="1" applyAlignment="1">
      <alignment horizontal="right" vertical="top"/>
    </xf>
    <xf numFmtId="0" fontId="20" fillId="0" borderId="0" xfId="59" applyFont="1" applyFill="1" applyBorder="1" applyAlignment="1">
      <alignment horizontal="right"/>
    </xf>
    <xf numFmtId="0" fontId="20" fillId="0" borderId="0" xfId="59" applyFont="1" applyFill="1" applyBorder="1" applyAlignment="1">
      <alignment horizontal="right" vertical="top"/>
    </xf>
    <xf numFmtId="0" fontId="74" fillId="0" borderId="0" xfId="79" applyNumberFormat="1" applyFont="1" applyFill="1" applyBorder="1" applyAlignment="1">
      <alignment horizontal="center"/>
    </xf>
    <xf numFmtId="0" fontId="74" fillId="0" borderId="0" xfId="79" applyNumberFormat="1" applyFont="1" applyFill="1" applyBorder="1" applyAlignment="1">
      <alignment horizontal="center" vertical="center"/>
    </xf>
    <xf numFmtId="0" fontId="40" fillId="0" borderId="0" xfId="79" applyNumberFormat="1" applyFont="1" applyFill="1" applyBorder="1" applyAlignment="1">
      <alignment horizontal="center"/>
    </xf>
    <xf numFmtId="0" fontId="41" fillId="0" borderId="0" xfId="79" applyNumberFormat="1" applyFont="1" applyFill="1" applyBorder="1" applyAlignment="1">
      <alignment horizontal="right" vertical="center"/>
    </xf>
    <xf numFmtId="0" fontId="40" fillId="0" borderId="0" xfId="79" applyNumberFormat="1" applyFont="1" applyFill="1" applyBorder="1" applyAlignment="1">
      <alignment horizontal="left"/>
    </xf>
    <xf numFmtId="0" fontId="40" fillId="0" borderId="0" xfId="79" applyNumberFormat="1" applyFont="1" applyFill="1" applyBorder="1" applyAlignment="1">
      <alignment horizontal="right"/>
    </xf>
    <xf numFmtId="0" fontId="75" fillId="0" borderId="0" xfId="79" applyNumberFormat="1" applyFont="1" applyFill="1" applyBorder="1" applyAlignment="1">
      <alignment horizontal="center"/>
    </xf>
    <xf numFmtId="0" fontId="75" fillId="0" borderId="0" xfId="79" applyNumberFormat="1" applyFont="1" applyFill="1" applyBorder="1" applyAlignment="1">
      <alignment horizontal="left" vertical="center"/>
    </xf>
    <xf numFmtId="175" fontId="41" fillId="0" borderId="0" xfId="79" applyNumberFormat="1" applyFont="1" applyFill="1" applyBorder="1" applyAlignment="1">
      <alignment horizontal="left"/>
    </xf>
    <xf numFmtId="0" fontId="73" fillId="0" borderId="0" xfId="79" applyNumberFormat="1" applyFont="1" applyFill="1" applyBorder="1" applyAlignment="1">
      <alignment horizontal="left"/>
    </xf>
    <xf numFmtId="0" fontId="73" fillId="0" borderId="0" xfId="79" applyNumberFormat="1" applyFont="1" applyFill="1" applyBorder="1" applyAlignment="1">
      <alignment horizontal="right"/>
    </xf>
    <xf numFmtId="4" fontId="20" fillId="0" borderId="0" xfId="58" applyNumberFormat="1" applyFont="1" applyFill="1" applyBorder="1" applyAlignment="1">
      <alignment vertical="center" wrapText="1"/>
    </xf>
    <xf numFmtId="0" fontId="20" fillId="0" borderId="0" xfId="59" applyFont="1" applyFill="1" applyAlignment="1">
      <alignment horizontal="right" vertical="center"/>
    </xf>
    <xf numFmtId="175" fontId="73" fillId="0" borderId="0" xfId="79" applyNumberFormat="1" applyFont="1" applyFill="1" applyBorder="1" applyAlignment="1">
      <alignment horizontal="left"/>
    </xf>
    <xf numFmtId="166" fontId="41" fillId="0" borderId="0" xfId="59" applyNumberFormat="1" applyFont="1" applyFill="1" applyBorder="1" applyAlignment="1">
      <alignment horizontal="right" vertical="center"/>
    </xf>
    <xf numFmtId="0" fontId="73" fillId="0" borderId="0" xfId="79" applyNumberFormat="1" applyFont="1" applyFill="1" applyBorder="1" applyAlignment="1"/>
    <xf numFmtId="0" fontId="75" fillId="0" borderId="0" xfId="79" applyNumberFormat="1" applyFont="1" applyFill="1" applyBorder="1" applyAlignment="1">
      <alignment horizontal="center" vertical="top"/>
    </xf>
    <xf numFmtId="175" fontId="41" fillId="0" borderId="0" xfId="79" applyNumberFormat="1" applyFont="1" applyFill="1" applyBorder="1" applyAlignment="1">
      <alignment horizontal="left" vertical="top"/>
    </xf>
    <xf numFmtId="175" fontId="76" fillId="0" borderId="0" xfId="79" applyNumberFormat="1" applyFont="1" applyFill="1" applyBorder="1" applyAlignment="1">
      <alignment horizontal="left" vertical="top"/>
    </xf>
    <xf numFmtId="0" fontId="76" fillId="0" borderId="0" xfId="79" applyNumberFormat="1" applyFont="1" applyFill="1" applyBorder="1" applyAlignment="1">
      <alignment horizontal="left" vertical="top"/>
    </xf>
    <xf numFmtId="0" fontId="77" fillId="0" borderId="0" xfId="79" applyNumberFormat="1" applyFont="1" applyFill="1" applyBorder="1" applyAlignment="1">
      <alignment vertical="top"/>
    </xf>
    <xf numFmtId="175" fontId="75" fillId="0" borderId="0" xfId="79" applyNumberFormat="1" applyFont="1" applyFill="1" applyBorder="1" applyAlignment="1">
      <alignment horizontal="left" vertical="center"/>
    </xf>
    <xf numFmtId="166" fontId="73" fillId="0" borderId="0" xfId="79" applyNumberFormat="1" applyFont="1" applyFill="1" applyBorder="1" applyAlignment="1">
      <alignment horizontal="left"/>
    </xf>
    <xf numFmtId="49" fontId="73" fillId="0" borderId="0" xfId="79" applyNumberFormat="1" applyFont="1" applyFill="1" applyBorder="1" applyAlignment="1"/>
    <xf numFmtId="0" fontId="20" fillId="0" borderId="0" xfId="59" applyFont="1" applyFill="1" applyAlignment="1">
      <alignment vertical="center"/>
    </xf>
    <xf numFmtId="0" fontId="73" fillId="0" borderId="0" xfId="79" applyNumberFormat="1" applyFont="1" applyFill="1" applyBorder="1" applyAlignment="1">
      <alignment vertical="center"/>
    </xf>
    <xf numFmtId="0" fontId="41" fillId="0" borderId="0" xfId="79" applyNumberFormat="1" applyFont="1" applyFill="1" applyBorder="1" applyAlignment="1">
      <alignment horizontal="center" vertical="top"/>
    </xf>
    <xf numFmtId="0" fontId="41" fillId="0" borderId="9" xfId="79" applyNumberFormat="1" applyFont="1" applyFill="1" applyBorder="1" applyAlignment="1">
      <alignment horizontal="center" vertical="center"/>
    </xf>
    <xf numFmtId="0" fontId="41" fillId="0" borderId="9" xfId="79" applyNumberFormat="1" applyFont="1" applyFill="1" applyBorder="1" applyAlignment="1">
      <alignment horizontal="center" vertical="center" wrapText="1"/>
    </xf>
    <xf numFmtId="0" fontId="74" fillId="0" borderId="9" xfId="79" applyNumberFormat="1" applyFont="1" applyFill="1" applyBorder="1" applyAlignment="1">
      <alignment horizontal="center" vertical="top"/>
    </xf>
    <xf numFmtId="0" fontId="74" fillId="0" borderId="9" xfId="79" applyNumberFormat="1" applyFont="1" applyFill="1" applyBorder="1" applyAlignment="1">
      <alignment horizontal="center" vertical="center"/>
    </xf>
    <xf numFmtId="0" fontId="78" fillId="0" borderId="9" xfId="79" applyNumberFormat="1" applyFont="1" applyFill="1" applyBorder="1" applyAlignment="1">
      <alignment horizontal="center" vertical="top"/>
    </xf>
    <xf numFmtId="1" fontId="78" fillId="0" borderId="9" xfId="79" applyNumberFormat="1" applyFont="1" applyFill="1" applyBorder="1" applyAlignment="1">
      <alignment horizontal="center" vertical="top"/>
    </xf>
    <xf numFmtId="0" fontId="78" fillId="0" borderId="9" xfId="79" applyNumberFormat="1" applyFont="1" applyFill="1" applyBorder="1" applyAlignment="1">
      <alignment horizontal="center" vertical="center"/>
    </xf>
    <xf numFmtId="49" fontId="74" fillId="0" borderId="9" xfId="79" applyNumberFormat="1" applyFont="1" applyFill="1" applyBorder="1" applyAlignment="1">
      <alignment horizontal="center"/>
    </xf>
    <xf numFmtId="49" fontId="74" fillId="0" borderId="9" xfId="79" applyNumberFormat="1" applyFont="1" applyFill="1" applyBorder="1" applyAlignment="1">
      <alignment vertical="center"/>
    </xf>
    <xf numFmtId="175" fontId="74" fillId="0" borderId="9" xfId="79" applyNumberFormat="1" applyFont="1" applyFill="1" applyBorder="1" applyAlignment="1">
      <alignment horizontal="center" vertical="center" wrapText="1"/>
    </xf>
    <xf numFmtId="175" fontId="74" fillId="0" borderId="9" xfId="79" applyNumberFormat="1" applyFont="1" applyFill="1" applyBorder="1" applyAlignment="1">
      <alignment vertical="center" wrapText="1"/>
    </xf>
    <xf numFmtId="49" fontId="74" fillId="0" borderId="15" xfId="79" applyNumberFormat="1" applyFont="1" applyFill="1" applyBorder="1" applyAlignment="1">
      <alignment horizontal="center" vertical="center"/>
    </xf>
    <xf numFmtId="49" fontId="74" fillId="0" borderId="15" xfId="79" applyNumberFormat="1" applyFont="1" applyFill="1" applyBorder="1" applyAlignment="1">
      <alignment vertical="center" wrapText="1"/>
    </xf>
    <xf numFmtId="175" fontId="74" fillId="0" borderId="15" xfId="79" applyNumberFormat="1" applyFont="1" applyFill="1" applyBorder="1" applyAlignment="1">
      <alignment vertical="center" wrapText="1"/>
    </xf>
    <xf numFmtId="0" fontId="78" fillId="0" borderId="0" xfId="79" applyNumberFormat="1" applyFont="1" applyFill="1" applyBorder="1" applyAlignment="1">
      <alignment horizontal="center" vertical="top"/>
    </xf>
    <xf numFmtId="175" fontId="74" fillId="0" borderId="15" xfId="79" applyNumberFormat="1" applyFont="1" applyFill="1" applyBorder="1" applyAlignment="1">
      <alignment horizontal="right" vertical="center" wrapText="1"/>
    </xf>
    <xf numFmtId="16" fontId="74" fillId="0" borderId="9" xfId="59" applyNumberFormat="1" applyFont="1" applyFill="1" applyBorder="1" applyAlignment="1">
      <alignment horizontal="center" vertical="center" wrapText="1"/>
    </xf>
    <xf numFmtId="0" fontId="74" fillId="0" borderId="9" xfId="59" applyFont="1" applyFill="1" applyBorder="1" applyAlignment="1">
      <alignment horizontal="left" vertical="center" wrapText="1"/>
    </xf>
    <xf numFmtId="175" fontId="75" fillId="0" borderId="9" xfId="79" applyNumberFormat="1" applyFont="1" applyFill="1" applyBorder="1" applyAlignment="1">
      <alignment horizontal="center" vertical="center" wrapText="1"/>
    </xf>
    <xf numFmtId="175" fontId="75" fillId="0" borderId="9" xfId="59" applyNumberFormat="1" applyFont="1" applyFill="1" applyBorder="1" applyAlignment="1">
      <alignment horizontal="right" vertical="center" wrapText="1"/>
    </xf>
    <xf numFmtId="175" fontId="75" fillId="0" borderId="9" xfId="61" applyNumberFormat="1" applyFont="1" applyFill="1" applyBorder="1" applyAlignment="1" applyProtection="1">
      <alignment horizontal="right" vertical="center"/>
    </xf>
    <xf numFmtId="183" fontId="75" fillId="0" borderId="9" xfId="79" applyNumberFormat="1" applyFont="1" applyFill="1" applyBorder="1" applyAlignment="1">
      <alignment horizontal="center" vertical="center" wrapText="1"/>
    </xf>
    <xf numFmtId="2" fontId="75" fillId="0" borderId="9" xfId="79" applyNumberFormat="1" applyFont="1" applyFill="1" applyBorder="1" applyAlignment="1">
      <alignment horizontal="right" vertical="center" wrapText="1"/>
    </xf>
    <xf numFmtId="175" fontId="75" fillId="0" borderId="9" xfId="79" applyNumberFormat="1" applyFont="1" applyFill="1" applyBorder="1" applyAlignment="1">
      <alignment vertical="center" wrapText="1"/>
    </xf>
    <xf numFmtId="16" fontId="75" fillId="0" borderId="9" xfId="59" applyNumberFormat="1" applyFont="1" applyFill="1" applyBorder="1" applyAlignment="1">
      <alignment horizontal="center" vertical="center" wrapText="1"/>
    </xf>
    <xf numFmtId="0" fontId="75" fillId="0" borderId="9" xfId="59" applyFont="1" applyFill="1" applyBorder="1" applyAlignment="1">
      <alignment horizontal="left" vertical="center" wrapText="1"/>
    </xf>
    <xf numFmtId="16" fontId="74" fillId="0" borderId="9" xfId="59" applyNumberFormat="1" applyFont="1" applyFill="1" applyBorder="1" applyAlignment="1">
      <alignment horizontal="left" vertical="center" wrapText="1"/>
    </xf>
    <xf numFmtId="16" fontId="75" fillId="0" borderId="9" xfId="59" applyNumberFormat="1" applyFont="1" applyFill="1" applyBorder="1" applyAlignment="1">
      <alignment horizontal="left" vertical="center" wrapText="1"/>
    </xf>
    <xf numFmtId="0" fontId="75" fillId="27" borderId="0" xfId="79" applyNumberFormat="1" applyFont="1" applyFill="1" applyBorder="1" applyAlignment="1">
      <alignment horizontal="center"/>
    </xf>
    <xf numFmtId="0" fontId="75" fillId="0" borderId="69" xfId="79" applyNumberFormat="1" applyFont="1" applyFill="1" applyBorder="1" applyAlignment="1">
      <alignment horizontal="center" vertical="center"/>
    </xf>
    <xf numFmtId="175" fontId="41" fillId="0" borderId="0" xfId="79" applyNumberFormat="1" applyFont="1" applyFill="1" applyBorder="1" applyAlignment="1">
      <alignment horizontal="center" vertical="center"/>
    </xf>
    <xf numFmtId="0" fontId="41" fillId="0" borderId="0" xfId="79" applyNumberFormat="1" applyFont="1" applyFill="1" applyBorder="1" applyAlignment="1">
      <alignment horizontal="center" vertical="center"/>
    </xf>
    <xf numFmtId="0" fontId="41" fillId="0" borderId="0" xfId="79" applyNumberFormat="1" applyFont="1" applyFill="1" applyBorder="1" applyAlignment="1">
      <alignment vertical="center"/>
    </xf>
    <xf numFmtId="0" fontId="75" fillId="0" borderId="0" xfId="79" applyNumberFormat="1" applyFont="1" applyFill="1" applyBorder="1" applyAlignment="1">
      <alignment horizontal="left"/>
    </xf>
    <xf numFmtId="0" fontId="75" fillId="0" borderId="0" xfId="79" applyNumberFormat="1" applyFont="1" applyFill="1" applyBorder="1" applyAlignment="1">
      <alignment horizontal="center" vertical="center"/>
    </xf>
    <xf numFmtId="175" fontId="41" fillId="0" borderId="0" xfId="79" applyNumberFormat="1" applyFont="1" applyFill="1" applyBorder="1" applyAlignment="1">
      <alignment horizontal="center" vertical="top"/>
    </xf>
    <xf numFmtId="0" fontId="20" fillId="0" borderId="0" xfId="79" applyNumberFormat="1" applyFont="1" applyFill="1" applyBorder="1" applyAlignment="1">
      <alignment horizontal="center" vertical="top"/>
    </xf>
    <xf numFmtId="0" fontId="20" fillId="0" borderId="0" xfId="79" applyNumberFormat="1" applyFont="1" applyFill="1" applyBorder="1" applyAlignment="1">
      <alignment vertical="center"/>
    </xf>
    <xf numFmtId="0" fontId="73" fillId="0" borderId="0" xfId="79" applyNumberFormat="1" applyFont="1" applyFill="1" applyBorder="1" applyAlignment="1">
      <alignment horizontal="center" vertical="center"/>
    </xf>
    <xf numFmtId="0" fontId="20" fillId="0" borderId="0" xfId="79" applyNumberFormat="1" applyFont="1" applyFill="1" applyBorder="1" applyAlignment="1">
      <alignment horizontal="center" vertical="center"/>
    </xf>
    <xf numFmtId="4" fontId="74" fillId="0" borderId="9" xfId="79" applyNumberFormat="1" applyFont="1" applyFill="1" applyBorder="1" applyAlignment="1">
      <alignment horizontal="right" vertical="center" wrapText="1"/>
    </xf>
    <xf numFmtId="4" fontId="74" fillId="0" borderId="15" xfId="79" applyNumberFormat="1" applyFont="1" applyFill="1" applyBorder="1" applyAlignment="1">
      <alignment horizontal="right" vertical="center" wrapText="1"/>
    </xf>
    <xf numFmtId="166" fontId="74" fillId="0" borderId="9" xfId="79" applyNumberFormat="1" applyFont="1" applyFill="1" applyBorder="1" applyAlignment="1">
      <alignment horizontal="right" vertical="center" wrapText="1"/>
    </xf>
    <xf numFmtId="166" fontId="74" fillId="0" borderId="15" xfId="79" applyNumberFormat="1" applyFont="1" applyFill="1" applyBorder="1" applyAlignment="1">
      <alignment horizontal="right" vertical="center" wrapText="1"/>
    </xf>
    <xf numFmtId="175" fontId="74" fillId="0" borderId="9" xfId="79" applyNumberFormat="1" applyFont="1" applyFill="1" applyBorder="1" applyAlignment="1">
      <alignment horizontal="right" vertical="center" wrapText="1"/>
    </xf>
    <xf numFmtId="183" fontId="74" fillId="0" borderId="9" xfId="79" applyNumberFormat="1" applyFont="1" applyFill="1" applyBorder="1" applyAlignment="1">
      <alignment horizontal="right" vertical="center" wrapText="1"/>
    </xf>
    <xf numFmtId="183" fontId="74" fillId="0" borderId="15" xfId="79" applyNumberFormat="1" applyFont="1" applyFill="1" applyBorder="1" applyAlignment="1">
      <alignment horizontal="right" vertical="center" wrapText="1"/>
    </xf>
    <xf numFmtId="166" fontId="75" fillId="0" borderId="9" xfId="59" applyNumberFormat="1" applyFont="1" applyFill="1" applyBorder="1" applyAlignment="1">
      <alignment horizontal="right" vertical="center" wrapText="1"/>
    </xf>
    <xf numFmtId="166" fontId="75" fillId="0" borderId="9" xfId="61" applyNumberFormat="1" applyFont="1" applyFill="1" applyBorder="1" applyAlignment="1" applyProtection="1">
      <alignment horizontal="right" vertical="center"/>
    </xf>
    <xf numFmtId="166" fontId="75" fillId="0" borderId="9" xfId="79" applyNumberFormat="1" applyFont="1" applyFill="1" applyBorder="1" applyAlignment="1">
      <alignment horizontal="right" vertical="center" wrapText="1"/>
    </xf>
    <xf numFmtId="0" fontId="31" fillId="0" borderId="0" xfId="60" applyFont="1" applyFill="1" applyAlignment="1">
      <alignment horizontal="right" vertical="center"/>
    </xf>
    <xf numFmtId="0" fontId="31" fillId="0" borderId="0" xfId="60" applyFont="1" applyFill="1" applyAlignment="1">
      <alignment horizontal="right"/>
    </xf>
    <xf numFmtId="4" fontId="59" fillId="0" borderId="0" xfId="59" applyNumberFormat="1" applyFont="1" applyFill="1" applyBorder="1" applyAlignment="1">
      <alignment horizontal="center"/>
    </xf>
    <xf numFmtId="172" fontId="1" fillId="0" borderId="37" xfId="59" applyNumberFormat="1" applyFont="1" applyFill="1" applyBorder="1" applyAlignment="1">
      <alignment horizontal="right" vertical="center"/>
    </xf>
    <xf numFmtId="2" fontId="1" fillId="0" borderId="37" xfId="59" applyNumberFormat="1" applyFont="1" applyFill="1" applyBorder="1" applyAlignment="1">
      <alignment horizontal="right" vertical="center"/>
    </xf>
    <xf numFmtId="172" fontId="2" fillId="28" borderId="44" xfId="59" applyNumberFormat="1" applyFont="1" applyFill="1" applyBorder="1" applyAlignment="1">
      <alignment horizontal="right" vertical="center"/>
    </xf>
    <xf numFmtId="172" fontId="2" fillId="28" borderId="64" xfId="59" applyNumberFormat="1" applyFont="1" applyFill="1" applyBorder="1" applyAlignment="1">
      <alignment horizontal="right" vertical="center"/>
    </xf>
    <xf numFmtId="172" fontId="2" fillId="0" borderId="50" xfId="59" applyNumberFormat="1" applyFont="1" applyFill="1" applyBorder="1" applyAlignment="1">
      <alignment vertical="center"/>
    </xf>
    <xf numFmtId="172" fontId="2" fillId="0" borderId="51" xfId="59" applyNumberFormat="1" applyFont="1" applyFill="1" applyBorder="1" applyAlignment="1">
      <alignment vertical="center"/>
    </xf>
    <xf numFmtId="172" fontId="2" fillId="0" borderId="32" xfId="59" applyNumberFormat="1" applyFont="1" applyFill="1" applyBorder="1" applyAlignment="1">
      <alignment horizontal="right" vertical="center"/>
    </xf>
    <xf numFmtId="2" fontId="1" fillId="0" borderId="14" xfId="59" applyNumberFormat="1" applyFont="1" applyFill="1" applyBorder="1" applyAlignment="1">
      <alignment horizontal="right" vertical="center"/>
    </xf>
    <xf numFmtId="2" fontId="2" fillId="28" borderId="46" xfId="59" applyNumberFormat="1" applyFont="1" applyFill="1" applyBorder="1" applyAlignment="1">
      <alignment horizontal="right" vertical="center"/>
    </xf>
    <xf numFmtId="0" fontId="2" fillId="0" borderId="51" xfId="59" applyFont="1" applyFill="1" applyBorder="1" applyAlignment="1">
      <alignment horizontal="center" vertical="center" wrapText="1"/>
    </xf>
    <xf numFmtId="0" fontId="2" fillId="0" borderId="19" xfId="59" applyFont="1" applyFill="1" applyBorder="1" applyAlignment="1">
      <alignment horizontal="center" vertical="center" wrapText="1"/>
    </xf>
    <xf numFmtId="172" fontId="1" fillId="0" borderId="9" xfId="59" applyNumberFormat="1" applyFont="1" applyFill="1" applyBorder="1" applyAlignment="1">
      <alignment horizontal="right" vertical="center" wrapText="1"/>
    </xf>
    <xf numFmtId="172" fontId="1" fillId="0" borderId="9" xfId="59" applyNumberFormat="1" applyFont="1" applyFill="1" applyBorder="1"/>
    <xf numFmtId="0" fontId="22" fillId="0" borderId="40" xfId="59" applyFont="1" applyFill="1" applyBorder="1" applyAlignment="1">
      <alignment horizontal="center" vertical="center" wrapText="1"/>
    </xf>
    <xf numFmtId="172" fontId="79" fillId="0" borderId="9" xfId="59" applyNumberFormat="1" applyFont="1" applyFill="1" applyBorder="1"/>
    <xf numFmtId="172" fontId="1" fillId="28" borderId="22" xfId="59" applyNumberFormat="1" applyFont="1" applyFill="1" applyBorder="1" applyAlignment="1">
      <alignment horizontal="right" vertical="center"/>
    </xf>
    <xf numFmtId="0" fontId="2" fillId="0" borderId="9" xfId="59" applyFont="1" applyFill="1" applyBorder="1" applyAlignment="1">
      <alignment horizontal="center" vertical="center" wrapText="1"/>
    </xf>
    <xf numFmtId="0" fontId="2" fillId="0" borderId="9" xfId="59" applyFont="1" applyFill="1" applyBorder="1" applyAlignment="1">
      <alignment horizontal="center" vertical="center"/>
    </xf>
    <xf numFmtId="0" fontId="2" fillId="0" borderId="9" xfId="59" applyFont="1" applyFill="1" applyBorder="1" applyAlignment="1">
      <alignment horizontal="center"/>
    </xf>
    <xf numFmtId="4" fontId="42" fillId="0" borderId="0" xfId="59" applyNumberFormat="1" applyFont="1" applyFill="1" applyBorder="1" applyAlignment="1"/>
    <xf numFmtId="0" fontId="42" fillId="0" borderId="9" xfId="59" applyNumberFormat="1" applyFont="1" applyFill="1" applyBorder="1" applyAlignment="1">
      <alignment horizontal="center" vertical="center" wrapText="1"/>
    </xf>
    <xf numFmtId="0" fontId="43" fillId="0" borderId="9" xfId="59" applyNumberFormat="1" applyFont="1" applyFill="1" applyBorder="1" applyAlignment="1">
      <alignment horizontal="center" vertical="center"/>
    </xf>
    <xf numFmtId="166" fontId="43" fillId="0" borderId="0" xfId="59" applyNumberFormat="1" applyFont="1" applyFill="1" applyBorder="1" applyAlignment="1">
      <alignment horizontal="left" vertical="top" wrapText="1"/>
    </xf>
    <xf numFmtId="0" fontId="43" fillId="0" borderId="0" xfId="59" applyFont="1" applyFill="1" applyBorder="1" applyAlignment="1">
      <alignment horizontal="left" vertical="top" wrapText="1"/>
    </xf>
    <xf numFmtId="0" fontId="43" fillId="0" borderId="9" xfId="59" applyFont="1" applyFill="1" applyBorder="1" applyAlignment="1">
      <alignment horizontal="center" vertical="center" wrapText="1"/>
    </xf>
    <xf numFmtId="4" fontId="43" fillId="0" borderId="17" xfId="59" applyNumberFormat="1" applyFont="1" applyFill="1" applyBorder="1" applyAlignment="1">
      <alignment horizontal="center" vertical="center" wrapText="1"/>
    </xf>
    <xf numFmtId="4" fontId="43" fillId="0" borderId="43" xfId="59" applyNumberFormat="1" applyFont="1" applyFill="1" applyBorder="1" applyAlignment="1">
      <alignment horizontal="center" vertical="center" wrapText="1"/>
    </xf>
    <xf numFmtId="4" fontId="43" fillId="0" borderId="60" xfId="59" applyNumberFormat="1" applyFont="1" applyFill="1" applyBorder="1" applyAlignment="1">
      <alignment horizontal="center" vertical="center" wrapText="1"/>
    </xf>
    <xf numFmtId="4" fontId="43" fillId="0" borderId="9" xfId="59" applyNumberFormat="1" applyFont="1" applyFill="1" applyBorder="1" applyAlignment="1">
      <alignment horizontal="center" vertical="center" wrapText="1"/>
    </xf>
    <xf numFmtId="0" fontId="43" fillId="0" borderId="0" xfId="59" applyFont="1" applyFill="1" applyBorder="1" applyAlignment="1">
      <alignment horizontal="center" vertical="center"/>
    </xf>
    <xf numFmtId="0" fontId="43" fillId="0" borderId="17" xfId="59" applyFont="1" applyFill="1" applyBorder="1" applyAlignment="1">
      <alignment horizontal="center"/>
    </xf>
    <xf numFmtId="0" fontId="43" fillId="0" borderId="60" xfId="59" applyFont="1" applyFill="1" applyBorder="1" applyAlignment="1">
      <alignment horizontal="center"/>
    </xf>
    <xf numFmtId="0" fontId="43" fillId="0" borderId="43" xfId="59" applyFont="1" applyFill="1" applyBorder="1" applyAlignment="1">
      <alignment horizontal="center"/>
    </xf>
    <xf numFmtId="49" fontId="43" fillId="0" borderId="17" xfId="59" applyNumberFormat="1" applyFont="1" applyFill="1" applyBorder="1" applyAlignment="1">
      <alignment horizontal="center" vertical="center" wrapText="1"/>
    </xf>
    <xf numFmtId="49" fontId="43" fillId="0" borderId="43" xfId="59" applyNumberFormat="1" applyFont="1" applyFill="1" applyBorder="1" applyAlignment="1">
      <alignment horizontal="center" vertical="center" wrapText="1"/>
    </xf>
    <xf numFmtId="49" fontId="43" fillId="0" borderId="9" xfId="59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40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41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45" xfId="0" applyFont="1" applyBorder="1" applyAlignment="1">
      <alignment horizontal="center" vertical="center" wrapText="1"/>
    </xf>
    <xf numFmtId="0" fontId="2" fillId="0" borderId="59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0" fontId="2" fillId="0" borderId="54" xfId="0" applyFont="1" applyBorder="1" applyAlignment="1">
      <alignment horizontal="center" vertical="center" wrapText="1"/>
    </xf>
    <xf numFmtId="0" fontId="2" fillId="0" borderId="44" xfId="0" applyFont="1" applyBorder="1" applyAlignment="1">
      <alignment horizontal="center" vertical="center" wrapText="1"/>
    </xf>
    <xf numFmtId="0" fontId="2" fillId="0" borderId="47" xfId="0" applyFont="1" applyBorder="1" applyAlignment="1">
      <alignment horizontal="center" vertical="center" wrapText="1"/>
    </xf>
    <xf numFmtId="0" fontId="2" fillId="0" borderId="58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24" fillId="0" borderId="37" xfId="0" applyFont="1" applyFill="1" applyBorder="1" applyAlignment="1">
      <alignment horizontal="center" vertical="center" wrapText="1"/>
    </xf>
    <xf numFmtId="0" fontId="24" fillId="0" borderId="43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34" fillId="0" borderId="9" xfId="59" applyFont="1" applyFill="1" applyBorder="1" applyAlignment="1">
      <alignment horizontal="center" vertical="center" wrapText="1"/>
    </xf>
    <xf numFmtId="0" fontId="32" fillId="0" borderId="0" xfId="59" applyFont="1" applyFill="1" applyAlignment="1">
      <alignment horizontal="center"/>
    </xf>
    <xf numFmtId="0" fontId="2" fillId="0" borderId="9" xfId="59" applyFont="1" applyFill="1" applyBorder="1" applyAlignment="1">
      <alignment horizontal="center" vertical="center" wrapText="1"/>
    </xf>
    <xf numFmtId="0" fontId="2" fillId="0" borderId="9" xfId="59" applyNumberFormat="1" applyFont="1" applyFill="1" applyBorder="1" applyAlignment="1">
      <alignment horizontal="center" vertical="center" wrapText="1"/>
    </xf>
    <xf numFmtId="0" fontId="2" fillId="0" borderId="17" xfId="59" applyFont="1" applyFill="1" applyBorder="1" applyAlignment="1">
      <alignment horizontal="center" vertical="center" wrapText="1"/>
    </xf>
    <xf numFmtId="0" fontId="2" fillId="0" borderId="60" xfId="59" applyFont="1" applyFill="1" applyBorder="1" applyAlignment="1">
      <alignment horizontal="center" vertical="center" wrapText="1"/>
    </xf>
    <xf numFmtId="0" fontId="2" fillId="0" borderId="43" xfId="59" applyFont="1" applyFill="1" applyBorder="1" applyAlignment="1">
      <alignment horizontal="center" vertical="center" wrapText="1"/>
    </xf>
    <xf numFmtId="0" fontId="71" fillId="0" borderId="15" xfId="59" applyFont="1" applyFill="1" applyBorder="1" applyAlignment="1">
      <alignment horizontal="center" vertical="center" wrapText="1"/>
    </xf>
    <xf numFmtId="0" fontId="71" fillId="0" borderId="44" xfId="59" applyFont="1" applyFill="1" applyBorder="1" applyAlignment="1">
      <alignment horizontal="center" vertical="center" wrapText="1"/>
    </xf>
    <xf numFmtId="0" fontId="71" fillId="0" borderId="19" xfId="59" applyFont="1" applyFill="1" applyBorder="1" applyAlignment="1">
      <alignment horizontal="center" vertical="center" wrapText="1"/>
    </xf>
    <xf numFmtId="0" fontId="2" fillId="0" borderId="17" xfId="59" applyFont="1" applyFill="1" applyBorder="1" applyAlignment="1">
      <alignment horizontal="center" vertical="center"/>
    </xf>
    <xf numFmtId="0" fontId="2" fillId="0" borderId="60" xfId="59" applyFont="1" applyFill="1" applyBorder="1" applyAlignment="1">
      <alignment horizontal="center" vertical="center"/>
    </xf>
    <xf numFmtId="0" fontId="2" fillId="0" borderId="43" xfId="59" applyFont="1" applyFill="1" applyBorder="1" applyAlignment="1">
      <alignment horizontal="center" vertical="center"/>
    </xf>
    <xf numFmtId="1" fontId="2" fillId="0" borderId="9" xfId="59" applyNumberFormat="1" applyFont="1" applyFill="1" applyBorder="1" applyAlignment="1">
      <alignment horizontal="center" vertical="center" wrapText="1"/>
    </xf>
    <xf numFmtId="0" fontId="2" fillId="0" borderId="9" xfId="59" applyFont="1" applyFill="1" applyBorder="1" applyAlignment="1">
      <alignment horizontal="center" vertical="center"/>
    </xf>
    <xf numFmtId="0" fontId="2" fillId="0" borderId="9" xfId="59" applyNumberFormat="1" applyFont="1" applyFill="1" applyBorder="1" applyAlignment="1">
      <alignment horizontal="center"/>
    </xf>
    <xf numFmtId="0" fontId="2" fillId="0" borderId="17" xfId="59" applyNumberFormat="1" applyFont="1" applyFill="1" applyBorder="1" applyAlignment="1">
      <alignment horizontal="center"/>
    </xf>
    <xf numFmtId="0" fontId="2" fillId="0" borderId="43" xfId="59" applyNumberFormat="1" applyFont="1" applyFill="1" applyBorder="1" applyAlignment="1">
      <alignment horizontal="center"/>
    </xf>
    <xf numFmtId="0" fontId="2" fillId="0" borderId="9" xfId="59" applyFont="1" applyFill="1" applyBorder="1" applyAlignment="1">
      <alignment horizontal="center"/>
    </xf>
    <xf numFmtId="0" fontId="2" fillId="0" borderId="17" xfId="59" applyFont="1" applyFill="1" applyBorder="1" applyAlignment="1">
      <alignment horizontal="center"/>
    </xf>
    <xf numFmtId="0" fontId="2" fillId="0" borderId="43" xfId="59" applyFont="1" applyFill="1" applyBorder="1" applyAlignment="1">
      <alignment horizontal="center"/>
    </xf>
    <xf numFmtId="0" fontId="1" fillId="0" borderId="17" xfId="59" applyFont="1" applyFill="1" applyBorder="1" applyAlignment="1">
      <alignment horizontal="center" vertical="center"/>
    </xf>
    <xf numFmtId="0" fontId="1" fillId="0" borderId="60" xfId="59" applyFont="1" applyFill="1" applyBorder="1" applyAlignment="1">
      <alignment horizontal="center" vertical="center"/>
    </xf>
    <xf numFmtId="0" fontId="1" fillId="0" borderId="43" xfId="59" applyFont="1" applyFill="1" applyBorder="1" applyAlignment="1">
      <alignment horizontal="center" vertical="center"/>
    </xf>
    <xf numFmtId="1" fontId="2" fillId="0" borderId="17" xfId="59" applyNumberFormat="1" applyFont="1" applyFill="1" applyBorder="1" applyAlignment="1">
      <alignment horizontal="center" vertical="center" wrapText="1"/>
    </xf>
    <xf numFmtId="1" fontId="2" fillId="0" borderId="43" xfId="59" applyNumberFormat="1" applyFont="1" applyFill="1" applyBorder="1" applyAlignment="1">
      <alignment horizontal="center" vertical="center" wrapText="1"/>
    </xf>
    <xf numFmtId="0" fontId="40" fillId="0" borderId="0" xfId="79" applyNumberFormat="1" applyFont="1" applyFill="1" applyBorder="1" applyAlignment="1">
      <alignment horizontal="center" vertical="center"/>
    </xf>
    <xf numFmtId="0" fontId="75" fillId="0" borderId="15" xfId="79" applyNumberFormat="1" applyFont="1" applyFill="1" applyBorder="1" applyAlignment="1">
      <alignment horizontal="center" vertical="center"/>
    </xf>
    <xf numFmtId="0" fontId="75" fillId="0" borderId="44" xfId="79" applyNumberFormat="1" applyFont="1" applyFill="1" applyBorder="1" applyAlignment="1">
      <alignment horizontal="center" vertical="center"/>
    </xf>
    <xf numFmtId="0" fontId="75" fillId="0" borderId="19" xfId="79" applyNumberFormat="1" applyFont="1" applyFill="1" applyBorder="1" applyAlignment="1">
      <alignment horizontal="center" vertical="center"/>
    </xf>
    <xf numFmtId="175" fontId="41" fillId="0" borderId="9" xfId="79" applyNumberFormat="1" applyFont="1" applyFill="1" applyBorder="1" applyAlignment="1">
      <alignment horizontal="center" vertical="center" wrapText="1"/>
    </xf>
    <xf numFmtId="0" fontId="41" fillId="0" borderId="9" xfId="79" applyNumberFormat="1" applyFont="1" applyFill="1" applyBorder="1" applyAlignment="1">
      <alignment horizontal="center" vertical="center"/>
    </xf>
    <xf numFmtId="0" fontId="41" fillId="0" borderId="9" xfId="79" applyNumberFormat="1" applyFont="1" applyFill="1" applyBorder="1" applyAlignment="1">
      <alignment horizontal="center" vertical="center" wrapText="1"/>
    </xf>
    <xf numFmtId="0" fontId="41" fillId="0" borderId="15" xfId="79" applyNumberFormat="1" applyFont="1" applyFill="1" applyBorder="1" applyAlignment="1">
      <alignment horizontal="center" vertical="center"/>
    </xf>
    <xf numFmtId="0" fontId="41" fillId="0" borderId="44" xfId="79" applyNumberFormat="1" applyFont="1" applyFill="1" applyBorder="1" applyAlignment="1">
      <alignment horizontal="center" vertical="center"/>
    </xf>
    <xf numFmtId="0" fontId="41" fillId="0" borderId="19" xfId="79" applyNumberFormat="1" applyFont="1" applyFill="1" applyBorder="1" applyAlignment="1">
      <alignment horizontal="center" vertical="center"/>
    </xf>
    <xf numFmtId="0" fontId="41" fillId="0" borderId="9" xfId="79" applyNumberFormat="1" applyFont="1" applyFill="1" applyBorder="1" applyAlignment="1">
      <alignment horizontal="left" vertical="center" wrapText="1"/>
    </xf>
    <xf numFmtId="4" fontId="64" fillId="0" borderId="0" xfId="77" applyNumberFormat="1" applyFont="1" applyBorder="1" applyAlignment="1">
      <alignment horizontal="center" vertical="center"/>
    </xf>
    <xf numFmtId="0" fontId="63" fillId="0" borderId="15" xfId="77" applyFont="1" applyBorder="1" applyAlignment="1">
      <alignment horizontal="right" vertical="center"/>
    </xf>
    <xf numFmtId="0" fontId="63" fillId="0" borderId="19" xfId="77" applyFont="1" applyBorder="1" applyAlignment="1">
      <alignment horizontal="right" vertical="center"/>
    </xf>
    <xf numFmtId="4" fontId="64" fillId="0" borderId="9" xfId="77" applyNumberFormat="1" applyFont="1" applyFill="1" applyBorder="1" applyAlignment="1">
      <alignment horizontal="center" vertical="center"/>
    </xf>
    <xf numFmtId="0" fontId="62" fillId="0" borderId="0" xfId="77" applyFont="1" applyAlignment="1">
      <alignment horizontal="center" vertical="center" wrapText="1"/>
    </xf>
    <xf numFmtId="0" fontId="62" fillId="0" borderId="0" xfId="77" applyFont="1" applyAlignment="1">
      <alignment horizontal="center" vertical="center"/>
    </xf>
    <xf numFmtId="0" fontId="64" fillId="0" borderId="9" xfId="77" applyFont="1" applyBorder="1" applyAlignment="1">
      <alignment horizontal="center" vertical="center"/>
    </xf>
    <xf numFmtId="0" fontId="63" fillId="0" borderId="0" xfId="77" applyFont="1" applyBorder="1" applyAlignment="1">
      <alignment horizontal="center"/>
    </xf>
    <xf numFmtId="4" fontId="64" fillId="0" borderId="17" xfId="77" applyNumberFormat="1" applyFont="1" applyFill="1" applyBorder="1" applyAlignment="1">
      <alignment horizontal="center" vertical="center"/>
    </xf>
    <xf numFmtId="4" fontId="64" fillId="0" borderId="43" xfId="77" applyNumberFormat="1" applyFont="1" applyFill="1" applyBorder="1" applyAlignment="1">
      <alignment horizontal="center" vertical="center"/>
    </xf>
    <xf numFmtId="0" fontId="64" fillId="0" borderId="17" xfId="77" applyFont="1" applyBorder="1" applyAlignment="1">
      <alignment horizontal="center" vertical="center"/>
    </xf>
    <xf numFmtId="0" fontId="64" fillId="0" borderId="43" xfId="77" applyFont="1" applyBorder="1" applyAlignment="1">
      <alignment horizontal="center" vertical="center"/>
    </xf>
    <xf numFmtId="0" fontId="69" fillId="0" borderId="0" xfId="60" applyFont="1" applyFill="1" applyAlignment="1">
      <alignment horizontal="center"/>
    </xf>
    <xf numFmtId="0" fontId="69" fillId="0" borderId="0" xfId="60" applyFont="1" applyFill="1" applyAlignment="1">
      <alignment horizontal="center" vertical="center"/>
    </xf>
    <xf numFmtId="0" fontId="43" fillId="0" borderId="9" xfId="60" applyFont="1" applyFill="1" applyBorder="1" applyAlignment="1">
      <alignment horizontal="center" vertical="center" wrapText="1"/>
    </xf>
    <xf numFmtId="0" fontId="43" fillId="0" borderId="9" xfId="60" applyFont="1" applyFill="1" applyBorder="1" applyAlignment="1">
      <alignment horizontal="center" vertical="center"/>
    </xf>
    <xf numFmtId="0" fontId="32" fillId="0" borderId="9" xfId="60" applyFont="1" applyFill="1" applyBorder="1" applyAlignment="1">
      <alignment horizontal="center" vertical="center" wrapText="1"/>
    </xf>
    <xf numFmtId="0" fontId="38" fillId="0" borderId="9" xfId="59" applyFont="1" applyFill="1" applyBorder="1" applyAlignment="1">
      <alignment horizontal="center" vertical="center"/>
    </xf>
    <xf numFmtId="0" fontId="20" fillId="0" borderId="17" xfId="59" applyFont="1" applyFill="1" applyBorder="1" applyAlignment="1">
      <alignment horizontal="center" vertical="center"/>
    </xf>
    <xf numFmtId="0" fontId="20" fillId="0" borderId="43" xfId="59" applyFont="1" applyFill="1" applyBorder="1" applyAlignment="1">
      <alignment horizontal="center" vertical="center"/>
    </xf>
    <xf numFmtId="3" fontId="20" fillId="0" borderId="17" xfId="59" applyNumberFormat="1" applyFont="1" applyFill="1" applyBorder="1" applyAlignment="1">
      <alignment horizontal="center" vertical="center"/>
    </xf>
    <xf numFmtId="3" fontId="20" fillId="0" borderId="43" xfId="59" applyNumberFormat="1" applyFont="1" applyFill="1" applyBorder="1" applyAlignment="1">
      <alignment horizontal="center" vertical="center"/>
    </xf>
    <xf numFmtId="4" fontId="20" fillId="0" borderId="17" xfId="59" applyNumberFormat="1" applyFont="1" applyFill="1" applyBorder="1" applyAlignment="1">
      <alignment horizontal="center" vertical="center"/>
    </xf>
    <xf numFmtId="4" fontId="20" fillId="0" borderId="43" xfId="59" applyNumberFormat="1" applyFont="1" applyFill="1" applyBorder="1" applyAlignment="1">
      <alignment horizontal="center" vertical="center"/>
    </xf>
    <xf numFmtId="0" fontId="67" fillId="0" borderId="0" xfId="59" applyFont="1" applyAlignment="1">
      <alignment horizontal="center" vertical="center"/>
    </xf>
    <xf numFmtId="0" fontId="31" fillId="0" borderId="0" xfId="60" applyFont="1" applyFill="1" applyAlignment="1">
      <alignment horizontal="right"/>
    </xf>
    <xf numFmtId="0" fontId="1" fillId="0" borderId="0" xfId="59" applyFont="1" applyFill="1" applyBorder="1" applyAlignment="1">
      <alignment horizontal="left" wrapText="1"/>
    </xf>
    <xf numFmtId="49" fontId="2" fillId="0" borderId="9" xfId="59" applyNumberFormat="1" applyFont="1" applyFill="1" applyBorder="1" applyAlignment="1">
      <alignment horizontal="center" vertical="center" wrapText="1"/>
    </xf>
    <xf numFmtId="49" fontId="1" fillId="0" borderId="0" xfId="59" applyNumberFormat="1" applyFont="1" applyFill="1"/>
    <xf numFmtId="0" fontId="2" fillId="0" borderId="0" xfId="59" applyFont="1" applyFill="1" applyAlignment="1">
      <alignment horizontal="center" vertical="top" wrapText="1"/>
    </xf>
    <xf numFmtId="49" fontId="26" fillId="0" borderId="0" xfId="59" applyNumberFormat="1" applyFont="1" applyFill="1" applyAlignment="1">
      <alignment horizontal="left" vertical="center" wrapText="1"/>
    </xf>
    <xf numFmtId="49" fontId="26" fillId="0" borderId="0" xfId="59" applyNumberFormat="1" applyFont="1" applyFill="1" applyAlignment="1">
      <alignment horizontal="left" wrapText="1"/>
    </xf>
    <xf numFmtId="49" fontId="26" fillId="0" borderId="0" xfId="59" applyNumberFormat="1" applyFont="1" applyFill="1" applyAlignment="1">
      <alignment vertical="center" wrapText="1"/>
    </xf>
    <xf numFmtId="0" fontId="2" fillId="0" borderId="9" xfId="0" applyFont="1" applyBorder="1" applyAlignment="1">
      <alignment horizontal="justify" vertical="top" wrapText="1"/>
    </xf>
    <xf numFmtId="0" fontId="2" fillId="0" borderId="0" xfId="0" applyFont="1" applyAlignment="1">
      <alignment horizontal="center" vertical="center" wrapText="1"/>
    </xf>
    <xf numFmtId="0" fontId="2" fillId="0" borderId="9" xfId="0" applyFont="1" applyBorder="1" applyAlignment="1">
      <alignment vertical="top" wrapText="1"/>
    </xf>
    <xf numFmtId="0" fontId="43" fillId="0" borderId="0" xfId="59" applyFont="1" applyAlignment="1">
      <alignment horizontal="center" vertical="center" wrapText="1"/>
    </xf>
    <xf numFmtId="0" fontId="22" fillId="0" borderId="9" xfId="59" applyFont="1" applyFill="1" applyBorder="1" applyAlignment="1">
      <alignment horizontal="center" vertical="center" wrapText="1"/>
    </xf>
    <xf numFmtId="0" fontId="22" fillId="0" borderId="14" xfId="59" applyFont="1" applyFill="1" applyBorder="1" applyAlignment="1">
      <alignment horizontal="center" vertical="center" wrapText="1"/>
    </xf>
    <xf numFmtId="0" fontId="22" fillId="0" borderId="40" xfId="59" applyFont="1" applyFill="1" applyBorder="1" applyAlignment="1">
      <alignment horizontal="center" vertical="center" wrapText="1"/>
    </xf>
    <xf numFmtId="0" fontId="22" fillId="0" borderId="16" xfId="59" applyFont="1" applyFill="1" applyBorder="1" applyAlignment="1">
      <alignment horizontal="center" vertical="center" wrapText="1"/>
    </xf>
    <xf numFmtId="0" fontId="22" fillId="0" borderId="45" xfId="59" applyFont="1" applyFill="1" applyBorder="1" applyAlignment="1">
      <alignment horizontal="center" vertical="center" wrapText="1"/>
    </xf>
    <xf numFmtId="0" fontId="22" fillId="0" borderId="17" xfId="59" applyFont="1" applyFill="1" applyBorder="1" applyAlignment="1">
      <alignment horizontal="center" vertical="center" wrapText="1"/>
    </xf>
    <xf numFmtId="0" fontId="32" fillId="0" borderId="0" xfId="59" applyFont="1" applyAlignment="1">
      <alignment horizontal="center" wrapText="1"/>
    </xf>
    <xf numFmtId="0" fontId="1" fillId="0" borderId="0" xfId="59" applyFont="1" applyBorder="1" applyAlignment="1">
      <alignment horizontal="left" wrapText="1"/>
    </xf>
    <xf numFmtId="0" fontId="32" fillId="0" borderId="0" xfId="0" applyFont="1" applyAlignment="1">
      <alignment horizontal="center" vertical="center" wrapText="1"/>
    </xf>
    <xf numFmtId="0" fontId="1" fillId="0" borderId="0" xfId="0" applyFont="1" applyAlignment="1">
      <alignment horizontal="right"/>
    </xf>
    <xf numFmtId="0" fontId="43" fillId="0" borderId="15" xfId="59" applyFont="1" applyFill="1" applyBorder="1" applyAlignment="1">
      <alignment horizontal="center" vertical="center" wrapText="1"/>
    </xf>
    <xf numFmtId="0" fontId="43" fillId="0" borderId="44" xfId="59" applyFont="1" applyFill="1" applyBorder="1" applyAlignment="1">
      <alignment horizontal="center" vertical="center" wrapText="1"/>
    </xf>
    <xf numFmtId="0" fontId="43" fillId="0" borderId="19" xfId="59" applyFont="1" applyFill="1" applyBorder="1" applyAlignment="1">
      <alignment horizontal="center" vertical="center" wrapText="1"/>
    </xf>
    <xf numFmtId="0" fontId="61" fillId="0" borderId="0" xfId="77" applyFont="1" applyAlignment="1">
      <alignment horizontal="center" vertical="center" wrapText="1"/>
    </xf>
    <xf numFmtId="0" fontId="61" fillId="0" borderId="15" xfId="77" applyFont="1" applyBorder="1" applyAlignment="1">
      <alignment horizontal="center" vertical="center"/>
    </xf>
    <xf numFmtId="0" fontId="61" fillId="0" borderId="19" xfId="77" applyFont="1" applyBorder="1" applyAlignment="1">
      <alignment horizontal="center" vertical="center"/>
    </xf>
    <xf numFmtId="0" fontId="61" fillId="0" borderId="17" xfId="77" applyFont="1" applyBorder="1" applyAlignment="1">
      <alignment horizontal="center"/>
    </xf>
    <xf numFmtId="0" fontId="61" fillId="0" borderId="60" xfId="77" applyFont="1" applyBorder="1" applyAlignment="1">
      <alignment horizontal="center"/>
    </xf>
    <xf numFmtId="0" fontId="61" fillId="0" borderId="43" xfId="77" applyFont="1" applyBorder="1" applyAlignment="1">
      <alignment horizontal="center"/>
    </xf>
    <xf numFmtId="0" fontId="32" fillId="0" borderId="0" xfId="59" applyFont="1" applyAlignment="1">
      <alignment horizontal="center" vertical="center" wrapText="1"/>
    </xf>
    <xf numFmtId="0" fontId="43" fillId="0" borderId="0" xfId="59" applyFont="1" applyAlignment="1">
      <alignment horizontal="center" wrapText="1"/>
    </xf>
  </cellXfs>
  <cellStyles count="80">
    <cellStyle name="_Инвестпрограмма на 2007 г." xfId="1"/>
    <cellStyle name="”ќђќ‘ћ‚›‰" xfId="3"/>
    <cellStyle name="”љ‘ђћ‚ђќќ›‰" xfId="4"/>
    <cellStyle name="„…ќ…†ќ›‰" xfId="5"/>
    <cellStyle name="‡ђѓћ‹ћ‚ћљ1" xfId="6"/>
    <cellStyle name="‡ђѓћ‹ћ‚ћљ2" xfId="7"/>
    <cellStyle name="’ћѓћ‚›‰" xfId="2"/>
    <cellStyle name="20% — акцент1" xfId="8" builtinId="30" customBuiltin="1"/>
    <cellStyle name="20% — акцент2" xfId="9" builtinId="34" customBuiltin="1"/>
    <cellStyle name="20% — акцент3" xfId="10" builtinId="38" customBuiltin="1"/>
    <cellStyle name="20% — акцент4" xfId="11" builtinId="42" customBuiltin="1"/>
    <cellStyle name="20% — акцент5" xfId="12" builtinId="46" customBuiltin="1"/>
    <cellStyle name="20% — акцент6" xfId="13" builtinId="50" customBuiltin="1"/>
    <cellStyle name="40% — акцент1" xfId="14" builtinId="31" customBuiltin="1"/>
    <cellStyle name="40% — акцент2" xfId="15" builtinId="35" customBuiltin="1"/>
    <cellStyle name="40% — акцент3" xfId="16" builtinId="39" customBuiltin="1"/>
    <cellStyle name="40% — акцент4" xfId="17" builtinId="43" customBuiltin="1"/>
    <cellStyle name="40% — акцент5" xfId="18" builtinId="47" customBuiltin="1"/>
    <cellStyle name="40% — акцент6" xfId="19" builtinId="51" customBuiltin="1"/>
    <cellStyle name="60% — акцент1" xfId="20" builtinId="32" customBuiltin="1"/>
    <cellStyle name="60% — акцент2" xfId="21" builtinId="36" customBuiltin="1"/>
    <cellStyle name="60% — акцент3" xfId="22" builtinId="40" customBuiltin="1"/>
    <cellStyle name="60% — акцент4" xfId="23" builtinId="44" customBuiltin="1"/>
    <cellStyle name="60% — акцент5" xfId="24" builtinId="48" customBuiltin="1"/>
    <cellStyle name="60% — акцент6" xfId="25" builtinId="52" customBuiltin="1"/>
    <cellStyle name="Comma [0]_laroux" xfId="26"/>
    <cellStyle name="Comma_laroux" xfId="27"/>
    <cellStyle name="Currency [0]" xfId="28"/>
    <cellStyle name="Currency_laroux" xfId="29"/>
    <cellStyle name="Iau?iue1" xfId="30"/>
    <cellStyle name="Normal_ASUS" xfId="31"/>
    <cellStyle name="Normal1" xfId="32"/>
    <cellStyle name="Ociriniaue [0]_5-C" xfId="33"/>
    <cellStyle name="Ociriniaue_5-C" xfId="34"/>
    <cellStyle name="Price_Body" xfId="35"/>
    <cellStyle name="Акцент1" xfId="36" builtinId="29" customBuiltin="1"/>
    <cellStyle name="Акцент2" xfId="37" builtinId="33" customBuiltin="1"/>
    <cellStyle name="Акцент3" xfId="38" builtinId="37" customBuiltin="1"/>
    <cellStyle name="Акцент4" xfId="39" builtinId="41" customBuiltin="1"/>
    <cellStyle name="Акцент5" xfId="40" builtinId="45" customBuiltin="1"/>
    <cellStyle name="Акцент6" xfId="41" builtinId="49" customBuiltin="1"/>
    <cellStyle name="Беззащитный" xfId="42"/>
    <cellStyle name="Ввод " xfId="43" builtinId="20" customBuiltin="1"/>
    <cellStyle name="Вывод" xfId="44" builtinId="21" customBuiltin="1"/>
    <cellStyle name="Вычисление" xfId="45" builtinId="22" customBuiltin="1"/>
    <cellStyle name="Заголовок" xfId="46"/>
    <cellStyle name="Заголовок 1" xfId="47" builtinId="16" customBuiltin="1"/>
    <cellStyle name="Заголовок 2" xfId="48" builtinId="17" customBuiltin="1"/>
    <cellStyle name="Заголовок 3" xfId="49" builtinId="18" customBuiltin="1"/>
    <cellStyle name="Заголовок 4" xfId="50" builtinId="19" customBuiltin="1"/>
    <cellStyle name="ЗаголовокСтолбца" xfId="51"/>
    <cellStyle name="Защитный" xfId="52"/>
    <cellStyle name="Значение" xfId="53"/>
    <cellStyle name="Итог" xfId="54" builtinId="25" customBuiltin="1"/>
    <cellStyle name="Контрольная ячейка" xfId="55" builtinId="23" customBuiltin="1"/>
    <cellStyle name="Название" xfId="56" builtinId="15" customBuiltin="1"/>
    <cellStyle name="Нейтральный" xfId="57" builtinId="28" customBuiltin="1"/>
    <cellStyle name="Обычный" xfId="0" builtinId="0"/>
    <cellStyle name="Обычный 2" xfId="58"/>
    <cellStyle name="Обычный 3" xfId="59"/>
    <cellStyle name="Обычный 4" xfId="60"/>
    <cellStyle name="Обычный 4 2" xfId="78"/>
    <cellStyle name="Обычный 5" xfId="77"/>
    <cellStyle name="Обычный_2кв_АРМ_V43_БП_ОАО Тюменьэнерго" xfId="61"/>
    <cellStyle name="Обычный_БП  " xfId="62"/>
    <cellStyle name="Обычный_Форма 1.4" xfId="79"/>
    <cellStyle name="Обычный_Формы Инвестиционных программ по постановлению 977 2" xfId="63"/>
    <cellStyle name="Обычный_Формы Инвестиционных программ по постановлению 977 2 2" xfId="64"/>
    <cellStyle name="Обычный1" xfId="65"/>
    <cellStyle name="Плохой" xfId="66" builtinId="27" customBuiltin="1"/>
    <cellStyle name="Пояснение" xfId="67" builtinId="53" customBuiltin="1"/>
    <cellStyle name="Примечание" xfId="68" builtinId="10" customBuiltin="1"/>
    <cellStyle name="Связанная ячейка" xfId="69" builtinId="24" customBuiltin="1"/>
    <cellStyle name="Стиль 1" xfId="70"/>
    <cellStyle name="Текст предупреждения" xfId="71" builtinId="11" customBuiltin="1"/>
    <cellStyle name="Тысячи [0]_3Com" xfId="72"/>
    <cellStyle name="Тысячи_3Com" xfId="73"/>
    <cellStyle name="Формула" xfId="74"/>
    <cellStyle name="Хороший" xfId="75" builtinId="26" customBuiltin="1"/>
    <cellStyle name="Џђћ–…ќ’ќ›‰" xfId="76"/>
  </cellStyles>
  <dxfs count="2"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/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1846549758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82942779634614"/>
          <c:y val="9.9557370143547624E-2"/>
          <c:w val="0.7765295092284884"/>
          <c:h val="0.80442543447501413"/>
        </c:manualLayout>
      </c:layout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Ref>
              <c:f>'приложение 2.3'!$C$482:$AA$482</c:f>
              <c:numCache>
                <c:formatCode>#\ ##0.0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numCache>
            </c:numRef>
          </c:cat>
          <c:val>
            <c:numRef>
              <c:f>'приложение 2.3'!$C$495:$AA$495</c:f>
              <c:numCache>
                <c:formatCode>_(* #\ ##0_);_(* \(#\ ##0\);_(* "-"_);_(@_)</c:formatCode>
                <c:ptCount val="25"/>
                <c:pt idx="0">
                  <c:v>-3473.115250184484</c:v>
                </c:pt>
                <c:pt idx="1">
                  <c:v>-3344.9560158603617</c:v>
                </c:pt>
                <c:pt idx="2">
                  <c:v>55749.029670836746</c:v>
                </c:pt>
                <c:pt idx="3">
                  <c:v>57006.44128126841</c:v>
                </c:pt>
                <c:pt idx="4">
                  <c:v>55225.009661391086</c:v>
                </c:pt>
                <c:pt idx="5">
                  <c:v>53474.104570554737</c:v>
                </c:pt>
                <c:pt idx="6">
                  <c:v>51756.121991690568</c:v>
                </c:pt>
                <c:pt idx="7">
                  <c:v>50073.03500792625</c:v>
                </c:pt>
                <c:pt idx="8">
                  <c:v>48426.440095564023</c:v>
                </c:pt>
                <c:pt idx="9">
                  <c:v>39307.613194937359</c:v>
                </c:pt>
                <c:pt idx="10">
                  <c:v>36920.123340955121</c:v>
                </c:pt>
                <c:pt idx="11">
                  <c:v>35696.703460415294</c:v>
                </c:pt>
                <c:pt idx="12">
                  <c:v>34501.834839872718</c:v>
                </c:pt>
                <c:pt idx="13">
                  <c:v>33336.201248313584</c:v>
                </c:pt>
                <c:pt idx="14">
                  <c:v>32200.291610986249</c:v>
                </c:pt>
                <c:pt idx="15">
                  <c:v>31094.42305370091</c:v>
                </c:pt>
                <c:pt idx="16">
                  <c:v>30018.761658124113</c:v>
                </c:pt>
                <c:pt idx="17">
                  <c:v>28973.341140295885</c:v>
                </c:pt>
                <c:pt idx="18">
                  <c:v>26021.593213793662</c:v>
                </c:pt>
                <c:pt idx="19">
                  <c:v>25111.078228649021</c:v>
                </c:pt>
                <c:pt idx="20">
                  <c:v>24230.310956843034</c:v>
                </c:pt>
                <c:pt idx="21">
                  <c:v>23378.492084737834</c:v>
                </c:pt>
                <c:pt idx="22">
                  <c:v>22554.828671349405</c:v>
                </c:pt>
                <c:pt idx="23">
                  <c:v>21758.535704960359</c:v>
                </c:pt>
                <c:pt idx="24">
                  <c:v>20988.837463447762</c:v>
                </c:pt>
              </c:numCache>
            </c:numRef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Ref>
              <c:f>'приложение 2.3'!$C$482:$AA$482</c:f>
              <c:numCache>
                <c:formatCode>#\ ##0.0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numCache>
            </c:numRef>
          </c:cat>
          <c:val>
            <c:numRef>
              <c:f>'приложение 2.3'!$C$496:$AA$496</c:f>
              <c:numCache>
                <c:formatCode>_(* #\ ##0_);_(* \(#\ ##0\);_(* "-"_);_(@_)</c:formatCode>
                <c:ptCount val="25"/>
                <c:pt idx="0">
                  <c:v>-763473.11525018455</c:v>
                </c:pt>
                <c:pt idx="1">
                  <c:v>-766818.07126604486</c:v>
                </c:pt>
                <c:pt idx="2">
                  <c:v>-711069.04159520811</c:v>
                </c:pt>
                <c:pt idx="3">
                  <c:v>-654062.60031393974</c:v>
                </c:pt>
                <c:pt idx="4">
                  <c:v>-598837.59065254871</c:v>
                </c:pt>
                <c:pt idx="5">
                  <c:v>-545363.48608199402</c:v>
                </c:pt>
                <c:pt idx="6">
                  <c:v>-493607.36409030342</c:v>
                </c:pt>
                <c:pt idx="7">
                  <c:v>-443534.3290823772</c:v>
                </c:pt>
                <c:pt idx="8">
                  <c:v>-395107.8889868132</c:v>
                </c:pt>
                <c:pt idx="9">
                  <c:v>-355800.27579187584</c:v>
                </c:pt>
                <c:pt idx="10">
                  <c:v>-318880.15245092072</c:v>
                </c:pt>
                <c:pt idx="11">
                  <c:v>-283183.44899050542</c:v>
                </c:pt>
                <c:pt idx="12">
                  <c:v>-248681.6141506327</c:v>
                </c:pt>
                <c:pt idx="13">
                  <c:v>-215345.41290231911</c:v>
                </c:pt>
                <c:pt idx="14">
                  <c:v>-183145.12129133285</c:v>
                </c:pt>
                <c:pt idx="15">
                  <c:v>-152050.69823763194</c:v>
                </c:pt>
                <c:pt idx="16">
                  <c:v>-122031.93657950782</c:v>
                </c:pt>
                <c:pt idx="17">
                  <c:v>-93058.595439211931</c:v>
                </c:pt>
                <c:pt idx="18">
                  <c:v>-67037.00222541827</c:v>
                </c:pt>
                <c:pt idx="19">
                  <c:v>-41925.923996769248</c:v>
                </c:pt>
                <c:pt idx="20">
                  <c:v>-17695.613039926215</c:v>
                </c:pt>
                <c:pt idx="21">
                  <c:v>5682.8790448116197</c:v>
                </c:pt>
                <c:pt idx="22">
                  <c:v>28237.707716161025</c:v>
                </c:pt>
                <c:pt idx="23">
                  <c:v>49996.243421121384</c:v>
                </c:pt>
                <c:pt idx="24">
                  <c:v>70985.08088456915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25504"/>
        <c:axId val="1628229312"/>
      </c:lineChart>
      <c:catAx>
        <c:axId val="1628225504"/>
        <c:scaling>
          <c:orientation val="minMax"/>
        </c:scaling>
        <c:delete val="0"/>
        <c:axPos val="b"/>
        <c:numFmt formatCode="#\ ##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628229312"/>
        <c:crosses val="autoZero"/>
        <c:auto val="1"/>
        <c:lblAlgn val="ctr"/>
        <c:lblOffset val="100"/>
        <c:noMultiLvlLbl val="0"/>
      </c:catAx>
      <c:valAx>
        <c:axId val="1628229312"/>
        <c:scaling>
          <c:orientation val="minMax"/>
        </c:scaling>
        <c:delete val="0"/>
        <c:axPos val="l"/>
        <c:majorGridlines/>
        <c:numFmt formatCode="_(* #\ ##0_);_(* \(#\ ##0\);_(* &quot;-&quot;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6282255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1578421578421578"/>
          <c:y val="0.89019948758994938"/>
          <c:w val="0.66433566433566438"/>
          <c:h val="7.8431672915414044E-2"/>
        </c:manualLayout>
      </c:layout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8708176"/>
        <c:axId val="1828707632"/>
      </c:lineChart>
      <c:catAx>
        <c:axId val="182870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28707632"/>
        <c:crosses val="autoZero"/>
        <c:auto val="1"/>
        <c:lblAlgn val="ctr"/>
        <c:lblOffset val="100"/>
        <c:noMultiLvlLbl val="0"/>
      </c:catAx>
      <c:valAx>
        <c:axId val="18287076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287081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0175392"/>
        <c:axId val="1890176480"/>
      </c:lineChart>
      <c:catAx>
        <c:axId val="189017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0176480"/>
        <c:crosses val="autoZero"/>
        <c:auto val="1"/>
        <c:lblAlgn val="ctr"/>
        <c:lblOffset val="100"/>
        <c:noMultiLvlLbl val="0"/>
      </c:catAx>
      <c:valAx>
        <c:axId val="18901764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01753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0166144"/>
        <c:axId val="1890178112"/>
      </c:lineChart>
      <c:catAx>
        <c:axId val="189016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0178112"/>
        <c:crosses val="autoZero"/>
        <c:auto val="1"/>
        <c:lblAlgn val="ctr"/>
        <c:lblOffset val="100"/>
        <c:noMultiLvlLbl val="0"/>
      </c:catAx>
      <c:valAx>
        <c:axId val="18901781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01661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0174848"/>
        <c:axId val="1890177568"/>
      </c:lineChart>
      <c:catAx>
        <c:axId val="189017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0177568"/>
        <c:crosses val="autoZero"/>
        <c:auto val="1"/>
        <c:lblAlgn val="ctr"/>
        <c:lblOffset val="100"/>
        <c:noMultiLvlLbl val="0"/>
      </c:catAx>
      <c:valAx>
        <c:axId val="18901775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01748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0179744"/>
        <c:axId val="1890163424"/>
      </c:lineChart>
      <c:catAx>
        <c:axId val="189017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0163424"/>
        <c:crosses val="autoZero"/>
        <c:auto val="1"/>
        <c:lblAlgn val="ctr"/>
        <c:lblOffset val="100"/>
        <c:noMultiLvlLbl val="0"/>
      </c:catAx>
      <c:valAx>
        <c:axId val="18901634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01797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0164512"/>
        <c:axId val="1890181376"/>
      </c:lineChart>
      <c:catAx>
        <c:axId val="189016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0181376"/>
        <c:crosses val="autoZero"/>
        <c:auto val="1"/>
        <c:lblAlgn val="ctr"/>
        <c:lblOffset val="100"/>
        <c:noMultiLvlLbl val="0"/>
      </c:catAx>
      <c:valAx>
        <c:axId val="18901813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01645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0182464"/>
        <c:axId val="1890183552"/>
      </c:lineChart>
      <c:catAx>
        <c:axId val="189018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0183552"/>
        <c:crosses val="autoZero"/>
        <c:auto val="1"/>
        <c:lblAlgn val="ctr"/>
        <c:lblOffset val="100"/>
        <c:noMultiLvlLbl val="0"/>
      </c:catAx>
      <c:valAx>
        <c:axId val="18901835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01824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1404784"/>
        <c:axId val="1891389552"/>
      </c:lineChart>
      <c:catAx>
        <c:axId val="189140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1389552"/>
        <c:crosses val="autoZero"/>
        <c:auto val="1"/>
        <c:lblAlgn val="ctr"/>
        <c:lblOffset val="100"/>
        <c:noMultiLvlLbl val="0"/>
      </c:catAx>
      <c:valAx>
        <c:axId val="18913895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14047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1392816"/>
        <c:axId val="1891398256"/>
      </c:lineChart>
      <c:catAx>
        <c:axId val="189139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1398256"/>
        <c:crosses val="autoZero"/>
        <c:auto val="1"/>
        <c:lblAlgn val="ctr"/>
        <c:lblOffset val="100"/>
        <c:noMultiLvlLbl val="0"/>
      </c:catAx>
      <c:valAx>
        <c:axId val="18913982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13928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1405872"/>
        <c:axId val="1891391728"/>
      </c:lineChart>
      <c:catAx>
        <c:axId val="189140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1391728"/>
        <c:crosses val="autoZero"/>
        <c:auto val="1"/>
        <c:lblAlgn val="ctr"/>
        <c:lblOffset val="100"/>
        <c:noMultiLvlLbl val="0"/>
      </c:catAx>
      <c:valAx>
        <c:axId val="1891391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14058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1399888"/>
        <c:axId val="1891396624"/>
      </c:lineChart>
      <c:catAx>
        <c:axId val="189139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1396624"/>
        <c:crosses val="autoZero"/>
        <c:auto val="1"/>
        <c:lblAlgn val="ctr"/>
        <c:lblOffset val="100"/>
        <c:noMultiLvlLbl val="0"/>
      </c:catAx>
      <c:valAx>
        <c:axId val="18913966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13998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0358832"/>
        <c:axId val="1830352848"/>
      </c:lineChart>
      <c:catAx>
        <c:axId val="183035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30352848"/>
        <c:crosses val="autoZero"/>
        <c:auto val="1"/>
        <c:lblAlgn val="ctr"/>
        <c:lblOffset val="100"/>
        <c:noMultiLvlLbl val="0"/>
      </c:catAx>
      <c:valAx>
        <c:axId val="18303528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303588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1390096"/>
        <c:axId val="1891394992"/>
      </c:lineChart>
      <c:catAx>
        <c:axId val="189139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1394992"/>
        <c:crosses val="autoZero"/>
        <c:auto val="1"/>
        <c:lblAlgn val="ctr"/>
        <c:lblOffset val="100"/>
        <c:noMultiLvlLbl val="0"/>
      </c:catAx>
      <c:valAx>
        <c:axId val="18913949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13900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1397168"/>
        <c:axId val="1891394448"/>
      </c:lineChart>
      <c:catAx>
        <c:axId val="189139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1394448"/>
        <c:crosses val="autoZero"/>
        <c:auto val="1"/>
        <c:lblAlgn val="ctr"/>
        <c:lblOffset val="100"/>
        <c:noMultiLvlLbl val="0"/>
      </c:catAx>
      <c:valAx>
        <c:axId val="18913944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13971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1390640"/>
        <c:axId val="1891402608"/>
      </c:lineChart>
      <c:catAx>
        <c:axId val="189139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1402608"/>
        <c:crosses val="autoZero"/>
        <c:auto val="1"/>
        <c:lblAlgn val="ctr"/>
        <c:lblOffset val="100"/>
        <c:noMultiLvlLbl val="0"/>
      </c:catAx>
      <c:valAx>
        <c:axId val="18914026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13906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1415120"/>
        <c:axId val="1891398800"/>
      </c:lineChart>
      <c:catAx>
        <c:axId val="189141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1398800"/>
        <c:crosses val="autoZero"/>
        <c:auto val="1"/>
        <c:lblAlgn val="ctr"/>
        <c:lblOffset val="100"/>
        <c:noMultiLvlLbl val="0"/>
      </c:catAx>
      <c:valAx>
        <c:axId val="18913988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14151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1408048"/>
        <c:axId val="1891410224"/>
      </c:lineChart>
      <c:catAx>
        <c:axId val="189140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1410224"/>
        <c:crosses val="autoZero"/>
        <c:auto val="1"/>
        <c:lblAlgn val="ctr"/>
        <c:lblOffset val="100"/>
        <c:noMultiLvlLbl val="0"/>
      </c:catAx>
      <c:valAx>
        <c:axId val="18914102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14080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1410768"/>
        <c:axId val="1891412400"/>
      </c:lineChart>
      <c:catAx>
        <c:axId val="189141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1412400"/>
        <c:crosses val="autoZero"/>
        <c:auto val="1"/>
        <c:lblAlgn val="ctr"/>
        <c:lblOffset val="100"/>
        <c:noMultiLvlLbl val="0"/>
      </c:catAx>
      <c:valAx>
        <c:axId val="18914124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14107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1414032"/>
        <c:axId val="1891412944"/>
      </c:lineChart>
      <c:catAx>
        <c:axId val="189141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1412944"/>
        <c:crosses val="autoZero"/>
        <c:auto val="1"/>
        <c:lblAlgn val="ctr"/>
        <c:lblOffset val="100"/>
        <c:noMultiLvlLbl val="0"/>
      </c:catAx>
      <c:valAx>
        <c:axId val="1891412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14140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1404240"/>
        <c:axId val="1891416208"/>
      </c:lineChart>
      <c:catAx>
        <c:axId val="189140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1416208"/>
        <c:crosses val="autoZero"/>
        <c:auto val="1"/>
        <c:lblAlgn val="ctr"/>
        <c:lblOffset val="100"/>
        <c:noMultiLvlLbl val="0"/>
      </c:catAx>
      <c:valAx>
        <c:axId val="18914162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14042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1416752"/>
        <c:axId val="1891400432"/>
      </c:lineChart>
      <c:catAx>
        <c:axId val="189141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1400432"/>
        <c:crosses val="autoZero"/>
        <c:auto val="1"/>
        <c:lblAlgn val="ctr"/>
        <c:lblOffset val="100"/>
        <c:noMultiLvlLbl val="0"/>
      </c:catAx>
      <c:valAx>
        <c:axId val="18914004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14167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1417840"/>
        <c:axId val="1891418384"/>
      </c:lineChart>
      <c:catAx>
        <c:axId val="189141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1418384"/>
        <c:crosses val="autoZero"/>
        <c:auto val="1"/>
        <c:lblAlgn val="ctr"/>
        <c:lblOffset val="100"/>
        <c:noMultiLvlLbl val="0"/>
      </c:catAx>
      <c:valAx>
        <c:axId val="18914183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14178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0349040"/>
        <c:axId val="1830352304"/>
      </c:lineChart>
      <c:catAx>
        <c:axId val="183034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30352304"/>
        <c:crosses val="autoZero"/>
        <c:auto val="1"/>
        <c:lblAlgn val="ctr"/>
        <c:lblOffset val="100"/>
        <c:noMultiLvlLbl val="0"/>
      </c:catAx>
      <c:valAx>
        <c:axId val="18303523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303490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1420016"/>
        <c:axId val="1891420560"/>
      </c:lineChart>
      <c:catAx>
        <c:axId val="189142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1420560"/>
        <c:crosses val="autoZero"/>
        <c:auto val="1"/>
        <c:lblAlgn val="ctr"/>
        <c:lblOffset val="100"/>
        <c:noMultiLvlLbl val="0"/>
      </c:catAx>
      <c:valAx>
        <c:axId val="18914205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14200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617664"/>
        <c:axId val="1892626368"/>
      </c:lineChart>
      <c:catAx>
        <c:axId val="189261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626368"/>
        <c:crosses val="autoZero"/>
        <c:auto val="1"/>
        <c:lblAlgn val="ctr"/>
        <c:lblOffset val="100"/>
        <c:noMultiLvlLbl val="0"/>
      </c:catAx>
      <c:valAx>
        <c:axId val="18926263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6176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613856"/>
        <c:axId val="1892612224"/>
      </c:lineChart>
      <c:catAx>
        <c:axId val="189261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612224"/>
        <c:crosses val="autoZero"/>
        <c:auto val="1"/>
        <c:lblAlgn val="ctr"/>
        <c:lblOffset val="100"/>
        <c:noMultiLvlLbl val="0"/>
      </c:catAx>
      <c:valAx>
        <c:axId val="18926122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6138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620384"/>
        <c:axId val="1892620928"/>
      </c:lineChart>
      <c:catAx>
        <c:axId val="189262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620928"/>
        <c:crosses val="autoZero"/>
        <c:auto val="1"/>
        <c:lblAlgn val="ctr"/>
        <c:lblOffset val="100"/>
        <c:noMultiLvlLbl val="0"/>
      </c:catAx>
      <c:valAx>
        <c:axId val="18926209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6203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617120"/>
        <c:axId val="1892614944"/>
      </c:lineChart>
      <c:catAx>
        <c:axId val="189261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614944"/>
        <c:crosses val="autoZero"/>
        <c:auto val="1"/>
        <c:lblAlgn val="ctr"/>
        <c:lblOffset val="100"/>
        <c:noMultiLvlLbl val="0"/>
      </c:catAx>
      <c:valAx>
        <c:axId val="1892614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6171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626912"/>
        <c:axId val="1892621472"/>
      </c:lineChart>
      <c:catAx>
        <c:axId val="189262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621472"/>
        <c:crosses val="autoZero"/>
        <c:auto val="1"/>
        <c:lblAlgn val="ctr"/>
        <c:lblOffset val="100"/>
        <c:noMultiLvlLbl val="0"/>
      </c:catAx>
      <c:valAx>
        <c:axId val="18926214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6269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622560"/>
        <c:axId val="1892627456"/>
      </c:lineChart>
      <c:catAx>
        <c:axId val="189262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627456"/>
        <c:crosses val="autoZero"/>
        <c:auto val="1"/>
        <c:lblAlgn val="ctr"/>
        <c:lblOffset val="100"/>
        <c:noMultiLvlLbl val="0"/>
      </c:catAx>
      <c:valAx>
        <c:axId val="1892627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6225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612768"/>
        <c:axId val="1892625824"/>
      </c:lineChart>
      <c:catAx>
        <c:axId val="189261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625824"/>
        <c:crosses val="autoZero"/>
        <c:auto val="1"/>
        <c:lblAlgn val="ctr"/>
        <c:lblOffset val="100"/>
        <c:noMultiLvlLbl val="0"/>
      </c:catAx>
      <c:valAx>
        <c:axId val="18926258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6127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624192"/>
        <c:axId val="1892624736"/>
      </c:lineChart>
      <c:catAx>
        <c:axId val="189262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624736"/>
        <c:crosses val="autoZero"/>
        <c:auto val="1"/>
        <c:lblAlgn val="ctr"/>
        <c:lblOffset val="100"/>
        <c:noMultiLvlLbl val="0"/>
      </c:catAx>
      <c:valAx>
        <c:axId val="1892624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6241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625280"/>
        <c:axId val="1892630720"/>
      </c:lineChart>
      <c:catAx>
        <c:axId val="189262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630720"/>
        <c:crosses val="autoZero"/>
        <c:auto val="1"/>
        <c:lblAlgn val="ctr"/>
        <c:lblOffset val="100"/>
        <c:noMultiLvlLbl val="0"/>
      </c:catAx>
      <c:valAx>
        <c:axId val="18926307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6252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0359376"/>
        <c:axId val="1830359920"/>
      </c:lineChart>
      <c:catAx>
        <c:axId val="183035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30359920"/>
        <c:crosses val="autoZero"/>
        <c:auto val="1"/>
        <c:lblAlgn val="ctr"/>
        <c:lblOffset val="100"/>
        <c:noMultiLvlLbl val="0"/>
      </c:catAx>
      <c:valAx>
        <c:axId val="18303599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303593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632352"/>
        <c:axId val="1892632896"/>
      </c:lineChart>
      <c:catAx>
        <c:axId val="189263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632896"/>
        <c:crosses val="autoZero"/>
        <c:auto val="1"/>
        <c:lblAlgn val="ctr"/>
        <c:lblOffset val="100"/>
        <c:noMultiLvlLbl val="0"/>
      </c:catAx>
      <c:valAx>
        <c:axId val="18926328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6323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633440"/>
        <c:axId val="1892633984"/>
      </c:lineChart>
      <c:catAx>
        <c:axId val="189263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633984"/>
        <c:crosses val="autoZero"/>
        <c:auto val="1"/>
        <c:lblAlgn val="ctr"/>
        <c:lblOffset val="100"/>
        <c:noMultiLvlLbl val="0"/>
      </c:catAx>
      <c:valAx>
        <c:axId val="18926339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6334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636160"/>
        <c:axId val="1892641056"/>
      </c:lineChart>
      <c:catAx>
        <c:axId val="189263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641056"/>
        <c:crosses val="autoZero"/>
        <c:auto val="1"/>
        <c:lblAlgn val="ctr"/>
        <c:lblOffset val="100"/>
        <c:noMultiLvlLbl val="0"/>
      </c:catAx>
      <c:valAx>
        <c:axId val="18926410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6361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637248"/>
        <c:axId val="1892637792"/>
      </c:lineChart>
      <c:catAx>
        <c:axId val="189263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637792"/>
        <c:crosses val="autoZero"/>
        <c:auto val="1"/>
        <c:lblAlgn val="ctr"/>
        <c:lblOffset val="100"/>
        <c:noMultiLvlLbl val="0"/>
      </c:catAx>
      <c:valAx>
        <c:axId val="18926377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6372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638880"/>
        <c:axId val="1892639968"/>
      </c:lineChart>
      <c:catAx>
        <c:axId val="189263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639968"/>
        <c:crosses val="autoZero"/>
        <c:auto val="1"/>
        <c:lblAlgn val="ctr"/>
        <c:lblOffset val="100"/>
        <c:noMultiLvlLbl val="0"/>
      </c:catAx>
      <c:valAx>
        <c:axId val="18926399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6388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593728"/>
        <c:axId val="1892586656"/>
      </c:lineChart>
      <c:catAx>
        <c:axId val="189259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586656"/>
        <c:crosses val="autoZero"/>
        <c:auto val="1"/>
        <c:lblAlgn val="ctr"/>
        <c:lblOffset val="100"/>
        <c:noMultiLvlLbl val="0"/>
      </c:catAx>
      <c:valAx>
        <c:axId val="18925866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5937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588288"/>
        <c:axId val="1892583936"/>
      </c:lineChart>
      <c:catAx>
        <c:axId val="189258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583936"/>
        <c:crosses val="autoZero"/>
        <c:auto val="1"/>
        <c:lblAlgn val="ctr"/>
        <c:lblOffset val="100"/>
        <c:noMultiLvlLbl val="0"/>
      </c:catAx>
      <c:valAx>
        <c:axId val="18925839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5882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580128"/>
        <c:axId val="1892592640"/>
      </c:lineChart>
      <c:catAx>
        <c:axId val="1892580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592640"/>
        <c:crosses val="autoZero"/>
        <c:auto val="1"/>
        <c:lblAlgn val="ctr"/>
        <c:lblOffset val="100"/>
        <c:noMultiLvlLbl val="0"/>
      </c:catAx>
      <c:valAx>
        <c:axId val="1892592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5801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581760"/>
        <c:axId val="1892591552"/>
      </c:lineChart>
      <c:catAx>
        <c:axId val="1892581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591552"/>
        <c:crosses val="autoZero"/>
        <c:auto val="1"/>
        <c:lblAlgn val="ctr"/>
        <c:lblOffset val="100"/>
        <c:noMultiLvlLbl val="0"/>
      </c:catAx>
      <c:valAx>
        <c:axId val="18925915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5817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587744"/>
        <c:axId val="1892582304"/>
      </c:lineChart>
      <c:catAx>
        <c:axId val="189258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582304"/>
        <c:crosses val="autoZero"/>
        <c:auto val="1"/>
        <c:lblAlgn val="ctr"/>
        <c:lblOffset val="100"/>
        <c:noMultiLvlLbl val="0"/>
      </c:catAx>
      <c:valAx>
        <c:axId val="18925823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5877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0346864"/>
        <c:axId val="1830353936"/>
      </c:lineChart>
      <c:catAx>
        <c:axId val="183034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30353936"/>
        <c:crosses val="autoZero"/>
        <c:auto val="1"/>
        <c:lblAlgn val="ctr"/>
        <c:lblOffset val="100"/>
        <c:noMultiLvlLbl val="0"/>
      </c:catAx>
      <c:valAx>
        <c:axId val="18303539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303468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589376"/>
        <c:axId val="1892577408"/>
      </c:lineChart>
      <c:catAx>
        <c:axId val="189258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577408"/>
        <c:crosses val="autoZero"/>
        <c:auto val="1"/>
        <c:lblAlgn val="ctr"/>
        <c:lblOffset val="100"/>
        <c:noMultiLvlLbl val="0"/>
      </c:catAx>
      <c:valAx>
        <c:axId val="18925774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5893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590464"/>
        <c:axId val="1892592096"/>
      </c:lineChart>
      <c:catAx>
        <c:axId val="189259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592096"/>
        <c:crosses val="autoZero"/>
        <c:auto val="1"/>
        <c:lblAlgn val="ctr"/>
        <c:lblOffset val="100"/>
        <c:noMultiLvlLbl val="0"/>
      </c:catAx>
      <c:valAx>
        <c:axId val="18925920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5904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594272"/>
        <c:axId val="1892591008"/>
      </c:lineChart>
      <c:catAx>
        <c:axId val="189259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591008"/>
        <c:crosses val="autoZero"/>
        <c:auto val="1"/>
        <c:lblAlgn val="ctr"/>
        <c:lblOffset val="100"/>
        <c:noMultiLvlLbl val="0"/>
      </c:catAx>
      <c:valAx>
        <c:axId val="18925910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5942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578496"/>
        <c:axId val="1892601344"/>
      </c:lineChart>
      <c:catAx>
        <c:axId val="189257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601344"/>
        <c:crosses val="autoZero"/>
        <c:auto val="1"/>
        <c:lblAlgn val="ctr"/>
        <c:lblOffset val="100"/>
        <c:noMultiLvlLbl val="0"/>
      </c:catAx>
      <c:valAx>
        <c:axId val="18926013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5784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604064"/>
        <c:axId val="1892611136"/>
      </c:lineChart>
      <c:catAx>
        <c:axId val="189260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611136"/>
        <c:crosses val="autoZero"/>
        <c:auto val="1"/>
        <c:lblAlgn val="ctr"/>
        <c:lblOffset val="100"/>
        <c:noMultiLvlLbl val="0"/>
      </c:catAx>
      <c:valAx>
        <c:axId val="18926111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6040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600800"/>
        <c:axId val="1892595360"/>
      </c:lineChart>
      <c:catAx>
        <c:axId val="189260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595360"/>
        <c:crosses val="autoZero"/>
        <c:auto val="1"/>
        <c:lblAlgn val="ctr"/>
        <c:lblOffset val="100"/>
        <c:noMultiLvlLbl val="0"/>
      </c:catAx>
      <c:valAx>
        <c:axId val="18925953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6008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599168"/>
        <c:axId val="1892596448"/>
      </c:lineChart>
      <c:catAx>
        <c:axId val="189259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596448"/>
        <c:crosses val="autoZero"/>
        <c:auto val="1"/>
        <c:lblAlgn val="ctr"/>
        <c:lblOffset val="100"/>
        <c:noMultiLvlLbl val="0"/>
      </c:catAx>
      <c:valAx>
        <c:axId val="18925964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5991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610048"/>
        <c:axId val="1892596992"/>
      </c:lineChart>
      <c:catAx>
        <c:axId val="189261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596992"/>
        <c:crosses val="autoZero"/>
        <c:auto val="1"/>
        <c:lblAlgn val="ctr"/>
        <c:lblOffset val="100"/>
        <c:noMultiLvlLbl val="0"/>
      </c:catAx>
      <c:valAx>
        <c:axId val="18925969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6100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602432"/>
        <c:axId val="1892603520"/>
      </c:lineChart>
      <c:catAx>
        <c:axId val="189260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603520"/>
        <c:crosses val="autoZero"/>
        <c:auto val="1"/>
        <c:lblAlgn val="ctr"/>
        <c:lblOffset val="100"/>
        <c:noMultiLvlLbl val="0"/>
      </c:catAx>
      <c:valAx>
        <c:axId val="18926035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6024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608416"/>
        <c:axId val="1892605696"/>
      </c:lineChart>
      <c:catAx>
        <c:axId val="189260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605696"/>
        <c:crosses val="autoZero"/>
        <c:auto val="1"/>
        <c:lblAlgn val="ctr"/>
        <c:lblOffset val="100"/>
        <c:noMultiLvlLbl val="0"/>
      </c:catAx>
      <c:valAx>
        <c:axId val="18926056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6084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0357200"/>
        <c:axId val="1830357744"/>
      </c:lineChart>
      <c:catAx>
        <c:axId val="183035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30357744"/>
        <c:crosses val="autoZero"/>
        <c:auto val="1"/>
        <c:lblAlgn val="ctr"/>
        <c:lblOffset val="100"/>
        <c:noMultiLvlLbl val="0"/>
      </c:catAx>
      <c:valAx>
        <c:axId val="18303577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303572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607328"/>
        <c:axId val="1892595904"/>
      </c:lineChart>
      <c:catAx>
        <c:axId val="189260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595904"/>
        <c:crosses val="autoZero"/>
        <c:auto val="1"/>
        <c:lblAlgn val="ctr"/>
        <c:lblOffset val="100"/>
        <c:noMultiLvlLbl val="0"/>
      </c:catAx>
      <c:valAx>
        <c:axId val="18925959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26073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4225456"/>
        <c:axId val="1894235792"/>
      </c:lineChart>
      <c:catAx>
        <c:axId val="189422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35792"/>
        <c:crosses val="autoZero"/>
        <c:auto val="1"/>
        <c:lblAlgn val="ctr"/>
        <c:lblOffset val="100"/>
        <c:noMultiLvlLbl val="0"/>
      </c:catAx>
      <c:valAx>
        <c:axId val="18942357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254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4237968"/>
        <c:axId val="1894234704"/>
      </c:lineChart>
      <c:catAx>
        <c:axId val="189423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34704"/>
        <c:crosses val="autoZero"/>
        <c:auto val="1"/>
        <c:lblAlgn val="ctr"/>
        <c:lblOffset val="100"/>
        <c:noMultiLvlLbl val="0"/>
      </c:catAx>
      <c:valAx>
        <c:axId val="1894234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379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4226544"/>
        <c:axId val="1894227088"/>
      </c:lineChart>
      <c:catAx>
        <c:axId val="189422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27088"/>
        <c:crosses val="autoZero"/>
        <c:auto val="1"/>
        <c:lblAlgn val="ctr"/>
        <c:lblOffset val="100"/>
        <c:noMultiLvlLbl val="0"/>
      </c:catAx>
      <c:valAx>
        <c:axId val="18942270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265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4224912"/>
        <c:axId val="1894227632"/>
      </c:lineChart>
      <c:catAx>
        <c:axId val="189422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27632"/>
        <c:crosses val="autoZero"/>
        <c:auto val="1"/>
        <c:lblAlgn val="ctr"/>
        <c:lblOffset val="100"/>
        <c:noMultiLvlLbl val="0"/>
      </c:catAx>
      <c:valAx>
        <c:axId val="18942276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249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4232528"/>
        <c:axId val="1894233072"/>
      </c:lineChart>
      <c:catAx>
        <c:axId val="189423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33072"/>
        <c:crosses val="autoZero"/>
        <c:auto val="1"/>
        <c:lblAlgn val="ctr"/>
        <c:lblOffset val="100"/>
        <c:noMultiLvlLbl val="0"/>
      </c:catAx>
      <c:valAx>
        <c:axId val="18942330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325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4235248"/>
        <c:axId val="1894230896"/>
      </c:lineChart>
      <c:catAx>
        <c:axId val="189423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30896"/>
        <c:crosses val="autoZero"/>
        <c:auto val="1"/>
        <c:lblAlgn val="ctr"/>
        <c:lblOffset val="100"/>
        <c:noMultiLvlLbl val="0"/>
      </c:catAx>
      <c:valAx>
        <c:axId val="18942308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352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4237424"/>
        <c:axId val="1894223824"/>
      </c:lineChart>
      <c:catAx>
        <c:axId val="189423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23824"/>
        <c:crosses val="autoZero"/>
        <c:auto val="1"/>
        <c:lblAlgn val="ctr"/>
        <c:lblOffset val="100"/>
        <c:noMultiLvlLbl val="0"/>
      </c:catAx>
      <c:valAx>
        <c:axId val="18942238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374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4224368"/>
        <c:axId val="1894229808"/>
      </c:lineChart>
      <c:catAx>
        <c:axId val="189422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29808"/>
        <c:crosses val="autoZero"/>
        <c:auto val="1"/>
        <c:lblAlgn val="ctr"/>
        <c:lblOffset val="100"/>
        <c:noMultiLvlLbl val="0"/>
      </c:catAx>
      <c:valAx>
        <c:axId val="18942298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243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4245040"/>
        <c:axId val="1894244496"/>
      </c:lineChart>
      <c:catAx>
        <c:axId val="189424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44496"/>
        <c:crosses val="autoZero"/>
        <c:auto val="1"/>
        <c:lblAlgn val="ctr"/>
        <c:lblOffset val="100"/>
        <c:noMultiLvlLbl val="0"/>
      </c:catAx>
      <c:valAx>
        <c:axId val="18942444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450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0347952"/>
        <c:axId val="1830348496"/>
      </c:lineChart>
      <c:catAx>
        <c:axId val="183034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30348496"/>
        <c:crosses val="autoZero"/>
        <c:auto val="1"/>
        <c:lblAlgn val="ctr"/>
        <c:lblOffset val="100"/>
        <c:noMultiLvlLbl val="0"/>
      </c:catAx>
      <c:valAx>
        <c:axId val="18303484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303479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4246672"/>
        <c:axId val="1894243408"/>
      </c:lineChart>
      <c:catAx>
        <c:axId val="189424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43408"/>
        <c:crosses val="autoZero"/>
        <c:auto val="1"/>
        <c:lblAlgn val="ctr"/>
        <c:lblOffset val="100"/>
        <c:noMultiLvlLbl val="0"/>
      </c:catAx>
      <c:valAx>
        <c:axId val="18942434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466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4243952"/>
        <c:axId val="1894247216"/>
      </c:lineChart>
      <c:catAx>
        <c:axId val="189424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47216"/>
        <c:crosses val="autoZero"/>
        <c:auto val="1"/>
        <c:lblAlgn val="ctr"/>
        <c:lblOffset val="100"/>
        <c:noMultiLvlLbl val="0"/>
      </c:catAx>
      <c:valAx>
        <c:axId val="18942472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439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4248304"/>
        <c:axId val="1894234160"/>
      </c:lineChart>
      <c:catAx>
        <c:axId val="189424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34160"/>
        <c:crosses val="autoZero"/>
        <c:auto val="1"/>
        <c:lblAlgn val="ctr"/>
        <c:lblOffset val="100"/>
        <c:noMultiLvlLbl val="0"/>
      </c:catAx>
      <c:valAx>
        <c:axId val="18942341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483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4253744"/>
        <c:axId val="1894254832"/>
      </c:lineChart>
      <c:catAx>
        <c:axId val="189425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54832"/>
        <c:crosses val="autoZero"/>
        <c:auto val="1"/>
        <c:lblAlgn val="ctr"/>
        <c:lblOffset val="100"/>
        <c:noMultiLvlLbl val="0"/>
      </c:catAx>
      <c:valAx>
        <c:axId val="18942548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537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4248848"/>
        <c:axId val="1894249392"/>
      </c:lineChart>
      <c:catAx>
        <c:axId val="189424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49392"/>
        <c:crosses val="autoZero"/>
        <c:auto val="1"/>
        <c:lblAlgn val="ctr"/>
        <c:lblOffset val="100"/>
        <c:noMultiLvlLbl val="0"/>
      </c:catAx>
      <c:valAx>
        <c:axId val="18942493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488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4251024"/>
        <c:axId val="1894251568"/>
      </c:lineChart>
      <c:catAx>
        <c:axId val="189425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51568"/>
        <c:crosses val="autoZero"/>
        <c:auto val="1"/>
        <c:lblAlgn val="ctr"/>
        <c:lblOffset val="100"/>
        <c:noMultiLvlLbl val="0"/>
      </c:catAx>
      <c:valAx>
        <c:axId val="18942515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510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4257552"/>
        <c:axId val="1894257008"/>
      </c:lineChart>
      <c:catAx>
        <c:axId val="189425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57008"/>
        <c:crosses val="autoZero"/>
        <c:auto val="1"/>
        <c:lblAlgn val="ctr"/>
        <c:lblOffset val="100"/>
        <c:noMultiLvlLbl val="0"/>
      </c:catAx>
      <c:valAx>
        <c:axId val="18942570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575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4262448"/>
        <c:axId val="1894262992"/>
      </c:lineChart>
      <c:catAx>
        <c:axId val="189426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62992"/>
        <c:crosses val="autoZero"/>
        <c:auto val="1"/>
        <c:lblAlgn val="ctr"/>
        <c:lblOffset val="100"/>
        <c:noMultiLvlLbl val="0"/>
      </c:catAx>
      <c:valAx>
        <c:axId val="18942629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624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4267888"/>
        <c:axId val="1894260816"/>
      </c:lineChart>
      <c:catAx>
        <c:axId val="189426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60816"/>
        <c:crosses val="autoZero"/>
        <c:auto val="1"/>
        <c:lblAlgn val="ctr"/>
        <c:lblOffset val="100"/>
        <c:noMultiLvlLbl val="0"/>
      </c:catAx>
      <c:valAx>
        <c:axId val="18942608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678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4268432"/>
        <c:axId val="1894271696"/>
      </c:lineChart>
      <c:catAx>
        <c:axId val="189426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71696"/>
        <c:crosses val="autoZero"/>
        <c:auto val="1"/>
        <c:lblAlgn val="ctr"/>
        <c:lblOffset val="100"/>
        <c:noMultiLvlLbl val="0"/>
      </c:catAx>
      <c:valAx>
        <c:axId val="18942716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684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0351216"/>
        <c:axId val="1830925488"/>
      </c:lineChart>
      <c:catAx>
        <c:axId val="183035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30925488"/>
        <c:crosses val="autoZero"/>
        <c:auto val="1"/>
        <c:lblAlgn val="ctr"/>
        <c:lblOffset val="100"/>
        <c:noMultiLvlLbl val="0"/>
      </c:catAx>
      <c:valAx>
        <c:axId val="18309254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303512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4274960"/>
        <c:axId val="1894264080"/>
      </c:lineChart>
      <c:catAx>
        <c:axId val="189427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64080"/>
        <c:crosses val="autoZero"/>
        <c:auto val="1"/>
        <c:lblAlgn val="ctr"/>
        <c:lblOffset val="100"/>
        <c:noMultiLvlLbl val="0"/>
      </c:catAx>
      <c:valAx>
        <c:axId val="18942640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749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4272240"/>
        <c:axId val="1894272784"/>
      </c:lineChart>
      <c:catAx>
        <c:axId val="189427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72784"/>
        <c:crosses val="autoZero"/>
        <c:auto val="1"/>
        <c:lblAlgn val="ctr"/>
        <c:lblOffset val="100"/>
        <c:noMultiLvlLbl val="0"/>
      </c:catAx>
      <c:valAx>
        <c:axId val="18942727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722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4266256"/>
        <c:axId val="1894271152"/>
      </c:lineChart>
      <c:catAx>
        <c:axId val="189426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71152"/>
        <c:crosses val="autoZero"/>
        <c:auto val="1"/>
        <c:lblAlgn val="ctr"/>
        <c:lblOffset val="100"/>
        <c:noMultiLvlLbl val="0"/>
      </c:catAx>
      <c:valAx>
        <c:axId val="18942711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662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4266800"/>
        <c:axId val="1894264624"/>
      </c:lineChart>
      <c:catAx>
        <c:axId val="189426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64624"/>
        <c:crosses val="autoZero"/>
        <c:auto val="1"/>
        <c:lblAlgn val="ctr"/>
        <c:lblOffset val="100"/>
        <c:noMultiLvlLbl val="0"/>
      </c:catAx>
      <c:valAx>
        <c:axId val="18942646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668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4273872"/>
        <c:axId val="1894275504"/>
      </c:lineChart>
      <c:catAx>
        <c:axId val="189427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75504"/>
        <c:crosses val="autoZero"/>
        <c:auto val="1"/>
        <c:lblAlgn val="ctr"/>
        <c:lblOffset val="100"/>
        <c:noMultiLvlLbl val="0"/>
      </c:catAx>
      <c:valAx>
        <c:axId val="18942755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738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4276592"/>
        <c:axId val="1894260272"/>
      </c:lineChart>
      <c:catAx>
        <c:axId val="189427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60272"/>
        <c:crosses val="autoZero"/>
        <c:auto val="1"/>
        <c:lblAlgn val="ctr"/>
        <c:lblOffset val="100"/>
        <c:noMultiLvlLbl val="0"/>
      </c:catAx>
      <c:valAx>
        <c:axId val="18942602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765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4288560"/>
        <c:axId val="1894282576"/>
      </c:lineChart>
      <c:catAx>
        <c:axId val="189428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82576"/>
        <c:crosses val="autoZero"/>
        <c:auto val="1"/>
        <c:lblAlgn val="ctr"/>
        <c:lblOffset val="100"/>
        <c:noMultiLvlLbl val="0"/>
      </c:catAx>
      <c:valAx>
        <c:axId val="18942825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885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4278768"/>
        <c:axId val="1894280944"/>
      </c:lineChart>
      <c:catAx>
        <c:axId val="189427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80944"/>
        <c:crosses val="autoZero"/>
        <c:auto val="1"/>
        <c:lblAlgn val="ctr"/>
        <c:lblOffset val="100"/>
        <c:noMultiLvlLbl val="0"/>
      </c:catAx>
      <c:valAx>
        <c:axId val="1894280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787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4279312"/>
        <c:axId val="1894280400"/>
      </c:lineChart>
      <c:catAx>
        <c:axId val="189427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80400"/>
        <c:crosses val="autoZero"/>
        <c:auto val="1"/>
        <c:lblAlgn val="ctr"/>
        <c:lblOffset val="100"/>
        <c:noMultiLvlLbl val="0"/>
      </c:catAx>
      <c:valAx>
        <c:axId val="18942804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793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4282032"/>
        <c:axId val="1894283120"/>
      </c:lineChart>
      <c:catAx>
        <c:axId val="189428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83120"/>
        <c:crosses val="autoZero"/>
        <c:auto val="1"/>
        <c:lblAlgn val="ctr"/>
        <c:lblOffset val="100"/>
        <c:noMultiLvlLbl val="0"/>
      </c:catAx>
      <c:valAx>
        <c:axId val="18942831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820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0934192"/>
        <c:axId val="1830927120"/>
      </c:lineChart>
      <c:catAx>
        <c:axId val="183093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30927120"/>
        <c:crosses val="autoZero"/>
        <c:auto val="1"/>
        <c:lblAlgn val="ctr"/>
        <c:lblOffset val="100"/>
        <c:noMultiLvlLbl val="0"/>
      </c:catAx>
      <c:valAx>
        <c:axId val="18309271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309341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4285840"/>
        <c:axId val="1894286384"/>
      </c:lineChart>
      <c:catAx>
        <c:axId val="189428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86384"/>
        <c:crosses val="autoZero"/>
        <c:auto val="1"/>
        <c:lblAlgn val="ctr"/>
        <c:lblOffset val="100"/>
        <c:noMultiLvlLbl val="0"/>
      </c:catAx>
      <c:valAx>
        <c:axId val="18942863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42858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7149936"/>
        <c:axId val="1897148848"/>
      </c:lineChart>
      <c:catAx>
        <c:axId val="189714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48848"/>
        <c:crosses val="autoZero"/>
        <c:auto val="1"/>
        <c:lblAlgn val="ctr"/>
        <c:lblOffset val="100"/>
        <c:noMultiLvlLbl val="0"/>
      </c:catAx>
      <c:valAx>
        <c:axId val="18971488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499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7147760"/>
        <c:axId val="1897143952"/>
      </c:lineChart>
      <c:catAx>
        <c:axId val="189714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43952"/>
        <c:crosses val="autoZero"/>
        <c:auto val="1"/>
        <c:lblAlgn val="ctr"/>
        <c:lblOffset val="100"/>
        <c:noMultiLvlLbl val="0"/>
      </c:catAx>
      <c:valAx>
        <c:axId val="18971439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477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7144496"/>
        <c:axId val="1897150480"/>
      </c:lineChart>
      <c:catAx>
        <c:axId val="189714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50480"/>
        <c:crosses val="autoZero"/>
        <c:auto val="1"/>
        <c:lblAlgn val="ctr"/>
        <c:lblOffset val="100"/>
        <c:noMultiLvlLbl val="0"/>
      </c:catAx>
      <c:valAx>
        <c:axId val="18971504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444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7149392"/>
        <c:axId val="1897151024"/>
      </c:lineChart>
      <c:catAx>
        <c:axId val="189714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51024"/>
        <c:crosses val="autoZero"/>
        <c:auto val="1"/>
        <c:lblAlgn val="ctr"/>
        <c:lblOffset val="100"/>
        <c:noMultiLvlLbl val="0"/>
      </c:catAx>
      <c:valAx>
        <c:axId val="18971510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493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7141232"/>
        <c:axId val="1897143408"/>
      </c:lineChart>
      <c:catAx>
        <c:axId val="189714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43408"/>
        <c:crosses val="autoZero"/>
        <c:auto val="1"/>
        <c:lblAlgn val="ctr"/>
        <c:lblOffset val="100"/>
        <c:noMultiLvlLbl val="0"/>
      </c:catAx>
      <c:valAx>
        <c:axId val="18971434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412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7136880"/>
        <c:axId val="1897141776"/>
      </c:lineChart>
      <c:catAx>
        <c:axId val="189713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41776"/>
        <c:crosses val="autoZero"/>
        <c:auto val="1"/>
        <c:lblAlgn val="ctr"/>
        <c:lblOffset val="100"/>
        <c:noMultiLvlLbl val="0"/>
      </c:catAx>
      <c:valAx>
        <c:axId val="18971417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368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7142320"/>
        <c:axId val="1897153200"/>
      </c:lineChart>
      <c:catAx>
        <c:axId val="189714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53200"/>
        <c:crosses val="autoZero"/>
        <c:auto val="1"/>
        <c:lblAlgn val="ctr"/>
        <c:lblOffset val="100"/>
        <c:noMultiLvlLbl val="0"/>
      </c:catAx>
      <c:valAx>
        <c:axId val="18971532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423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7137424"/>
        <c:axId val="1897154832"/>
      </c:lineChart>
      <c:catAx>
        <c:axId val="189713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54832"/>
        <c:crosses val="autoZero"/>
        <c:auto val="1"/>
        <c:lblAlgn val="ctr"/>
        <c:lblOffset val="100"/>
        <c:noMultiLvlLbl val="0"/>
      </c:catAx>
      <c:valAx>
        <c:axId val="18971548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374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7139056"/>
        <c:axId val="1897155920"/>
      </c:lineChart>
      <c:catAx>
        <c:axId val="189713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55920"/>
        <c:crosses val="autoZero"/>
        <c:auto val="1"/>
        <c:lblAlgn val="ctr"/>
        <c:lblOffset val="100"/>
        <c:noMultiLvlLbl val="0"/>
      </c:catAx>
      <c:valAx>
        <c:axId val="18971559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390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0937456"/>
        <c:axId val="1830929840"/>
      </c:lineChart>
      <c:catAx>
        <c:axId val="183093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30929840"/>
        <c:crosses val="autoZero"/>
        <c:auto val="1"/>
        <c:lblAlgn val="ctr"/>
        <c:lblOffset val="100"/>
        <c:noMultiLvlLbl val="0"/>
      </c:catAx>
      <c:valAx>
        <c:axId val="18309298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309374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7140144"/>
        <c:axId val="1897157008"/>
      </c:lineChart>
      <c:catAx>
        <c:axId val="189714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57008"/>
        <c:crosses val="autoZero"/>
        <c:auto val="1"/>
        <c:lblAlgn val="ctr"/>
        <c:lblOffset val="100"/>
        <c:noMultiLvlLbl val="0"/>
      </c:catAx>
      <c:valAx>
        <c:axId val="18971570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401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7158640"/>
        <c:axId val="1897159184"/>
      </c:lineChart>
      <c:catAx>
        <c:axId val="189715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59184"/>
        <c:crosses val="autoZero"/>
        <c:auto val="1"/>
        <c:lblAlgn val="ctr"/>
        <c:lblOffset val="100"/>
        <c:noMultiLvlLbl val="0"/>
      </c:catAx>
      <c:valAx>
        <c:axId val="1897159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586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7160272"/>
        <c:axId val="1897160816"/>
      </c:lineChart>
      <c:catAx>
        <c:axId val="189716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60816"/>
        <c:crosses val="autoZero"/>
        <c:auto val="1"/>
        <c:lblAlgn val="ctr"/>
        <c:lblOffset val="100"/>
        <c:noMultiLvlLbl val="0"/>
      </c:catAx>
      <c:valAx>
        <c:axId val="18971608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602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7167344"/>
        <c:axId val="1897162448"/>
      </c:lineChart>
      <c:catAx>
        <c:axId val="189716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62448"/>
        <c:crosses val="autoZero"/>
        <c:auto val="1"/>
        <c:lblAlgn val="ctr"/>
        <c:lblOffset val="100"/>
        <c:noMultiLvlLbl val="0"/>
      </c:catAx>
      <c:valAx>
        <c:axId val="18971624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673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7164080"/>
        <c:axId val="1897163536"/>
      </c:lineChart>
      <c:catAx>
        <c:axId val="189716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63536"/>
        <c:crosses val="autoZero"/>
        <c:auto val="1"/>
        <c:lblAlgn val="ctr"/>
        <c:lblOffset val="100"/>
        <c:noMultiLvlLbl val="0"/>
      </c:catAx>
      <c:valAx>
        <c:axId val="18971635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640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7168432"/>
        <c:axId val="1897169520"/>
      </c:lineChart>
      <c:catAx>
        <c:axId val="189716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69520"/>
        <c:crosses val="autoZero"/>
        <c:auto val="1"/>
        <c:lblAlgn val="ctr"/>
        <c:lblOffset val="100"/>
        <c:noMultiLvlLbl val="0"/>
      </c:catAx>
      <c:valAx>
        <c:axId val="18971695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684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7170608"/>
        <c:axId val="1897165712"/>
      </c:lineChart>
      <c:catAx>
        <c:axId val="189717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65712"/>
        <c:crosses val="autoZero"/>
        <c:auto val="1"/>
        <c:lblAlgn val="ctr"/>
        <c:lblOffset val="100"/>
        <c:noMultiLvlLbl val="0"/>
      </c:catAx>
      <c:valAx>
        <c:axId val="18971657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706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7172240"/>
        <c:axId val="1897171152"/>
      </c:lineChart>
      <c:catAx>
        <c:axId val="189717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71152"/>
        <c:crosses val="autoZero"/>
        <c:auto val="1"/>
        <c:lblAlgn val="ctr"/>
        <c:lblOffset val="100"/>
        <c:noMultiLvlLbl val="0"/>
      </c:catAx>
      <c:valAx>
        <c:axId val="18971711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722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7180944"/>
        <c:axId val="1897180400"/>
      </c:lineChart>
      <c:catAx>
        <c:axId val="189718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80400"/>
        <c:crosses val="autoZero"/>
        <c:auto val="1"/>
        <c:lblAlgn val="ctr"/>
        <c:lblOffset val="100"/>
        <c:noMultiLvlLbl val="0"/>
      </c:catAx>
      <c:valAx>
        <c:axId val="18971804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809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7184208"/>
        <c:axId val="1897174960"/>
      </c:lineChart>
      <c:catAx>
        <c:axId val="189718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74960"/>
        <c:crosses val="autoZero"/>
        <c:auto val="1"/>
        <c:lblAlgn val="ctr"/>
        <c:lblOffset val="100"/>
        <c:noMultiLvlLbl val="0"/>
      </c:catAx>
      <c:valAx>
        <c:axId val="18971749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842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28768"/>
        <c:axId val="1628235296"/>
      </c:lineChart>
      <c:catAx>
        <c:axId val="162822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628235296"/>
        <c:crosses val="autoZero"/>
        <c:auto val="1"/>
        <c:lblAlgn val="ctr"/>
        <c:lblOffset val="100"/>
        <c:noMultiLvlLbl val="0"/>
      </c:catAx>
      <c:valAx>
        <c:axId val="16282352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6282287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accent3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0928752"/>
        <c:axId val="1830932560"/>
      </c:lineChart>
      <c:catAx>
        <c:axId val="183092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30932560"/>
        <c:crosses val="autoZero"/>
        <c:auto val="1"/>
        <c:lblAlgn val="ctr"/>
        <c:lblOffset val="100"/>
        <c:noMultiLvlLbl val="0"/>
      </c:catAx>
      <c:valAx>
        <c:axId val="18309325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309287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7183120"/>
        <c:axId val="1897178768"/>
      </c:lineChart>
      <c:catAx>
        <c:axId val="189718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78768"/>
        <c:crosses val="autoZero"/>
        <c:auto val="1"/>
        <c:lblAlgn val="ctr"/>
        <c:lblOffset val="100"/>
        <c:noMultiLvlLbl val="0"/>
      </c:catAx>
      <c:valAx>
        <c:axId val="18971787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831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7179856"/>
        <c:axId val="1897176048"/>
      </c:lineChart>
      <c:catAx>
        <c:axId val="189717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76048"/>
        <c:crosses val="autoZero"/>
        <c:auto val="1"/>
        <c:lblAlgn val="ctr"/>
        <c:lblOffset val="100"/>
        <c:noMultiLvlLbl val="0"/>
      </c:catAx>
      <c:valAx>
        <c:axId val="18971760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798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7186384"/>
        <c:axId val="1897171696"/>
      </c:lineChart>
      <c:catAx>
        <c:axId val="189718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71696"/>
        <c:crosses val="autoZero"/>
        <c:auto val="1"/>
        <c:lblAlgn val="ctr"/>
        <c:lblOffset val="100"/>
        <c:noMultiLvlLbl val="0"/>
      </c:catAx>
      <c:valAx>
        <c:axId val="18971716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863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/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1846549758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82942779634614"/>
          <c:y val="9.9557370143547624E-2"/>
          <c:w val="0.7765295092284884"/>
          <c:h val="0.80442543447501413"/>
        </c:manualLayout>
      </c:layout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Ref>
              <c:f>'приложение 2.3'!$C$133:$AA$133</c:f>
              <c:numCache>
                <c:formatCode>#\ ##0.0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numCache>
            </c:numRef>
          </c:cat>
          <c:val>
            <c:numRef>
              <c:f>'приложение 2.3'!$C$146:$AA$146</c:f>
              <c:numCache>
                <c:formatCode>_(* #\ ##0_);_(* \(#\ ##0\);_(* "-"_);_(@_)</c:formatCode>
                <c:ptCount val="25"/>
                <c:pt idx="0">
                  <c:v>16992120.585508835</c:v>
                </c:pt>
                <c:pt idx="1">
                  <c:v>9675624.7200586759</c:v>
                </c:pt>
                <c:pt idx="2">
                  <c:v>5850890.5584760113</c:v>
                </c:pt>
                <c:pt idx="3">
                  <c:v>6860401.7218678286</c:v>
                </c:pt>
                <c:pt idx="4">
                  <c:v>4017433.4869249049</c:v>
                </c:pt>
                <c:pt idx="5">
                  <c:v>4237758.6113294968</c:v>
                </c:pt>
                <c:pt idx="6">
                  <c:v>4411798.1237566937</c:v>
                </c:pt>
                <c:pt idx="7">
                  <c:v>3405197.6738434527</c:v>
                </c:pt>
                <c:pt idx="8">
                  <c:v>3487439.5024287854</c:v>
                </c:pt>
                <c:pt idx="9">
                  <c:v>3595554.4735739077</c:v>
                </c:pt>
                <c:pt idx="10">
                  <c:v>3674381.0124851475</c:v>
                </c:pt>
                <c:pt idx="11">
                  <c:v>4611876.4324056311</c:v>
                </c:pt>
                <c:pt idx="12">
                  <c:v>4455133.8448575716</c:v>
                </c:pt>
                <c:pt idx="13">
                  <c:v>4302501.8773114076</c:v>
                </c:pt>
                <c:pt idx="14">
                  <c:v>4154007.4786965051</c:v>
                </c:pt>
                <c:pt idx="15">
                  <c:v>4009658.9663035809</c:v>
                </c:pt>
                <c:pt idx="16">
                  <c:v>3869448.3740866776</c:v>
                </c:pt>
                <c:pt idx="17">
                  <c:v>3486537.5635386878</c:v>
                </c:pt>
                <c:pt idx="18">
                  <c:v>3364053.9464216367</c:v>
                </c:pt>
                <c:pt idx="19">
                  <c:v>3245611.8317222707</c:v>
                </c:pt>
                <c:pt idx="20">
                  <c:v>3131099.1416881569</c:v>
                </c:pt>
                <c:pt idx="21">
                  <c:v>3020405.0628428189</c:v>
                </c:pt>
                <c:pt idx="22">
                  <c:v>2913420.22184317</c:v>
                </c:pt>
                <c:pt idx="23">
                  <c:v>2810036.8376052896</c:v>
                </c:pt>
                <c:pt idx="24">
                  <c:v>2710148.8519103937</c:v>
                </c:pt>
              </c:numCache>
            </c:numRef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Ref>
              <c:f>'приложение 2.3'!$C$133:$AA$133</c:f>
              <c:numCache>
                <c:formatCode>#\ ##0.0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numCache>
            </c:numRef>
          </c:cat>
          <c:val>
            <c:numRef>
              <c:f>'приложение 2.3'!$C$147:$AA$147</c:f>
              <c:numCache>
                <c:formatCode>_(* #\ ##0_);_(* \(#\ ##0\);_(* "-"_);_(@_)</c:formatCode>
                <c:ptCount val="25"/>
                <c:pt idx="0">
                  <c:v>-72367879.414491177</c:v>
                </c:pt>
                <c:pt idx="1">
                  <c:v>-62692254.694432497</c:v>
                </c:pt>
                <c:pt idx="2">
                  <c:v>-56841364.135956489</c:v>
                </c:pt>
                <c:pt idx="3">
                  <c:v>-49980962.414088659</c:v>
                </c:pt>
                <c:pt idx="4">
                  <c:v>-45963528.927163757</c:v>
                </c:pt>
                <c:pt idx="5">
                  <c:v>-41725770.315834261</c:v>
                </c:pt>
                <c:pt idx="6">
                  <c:v>-37313972.19207757</c:v>
                </c:pt>
                <c:pt idx="7">
                  <c:v>-33908774.518234119</c:v>
                </c:pt>
                <c:pt idx="8">
                  <c:v>-30421335.015805334</c:v>
                </c:pt>
                <c:pt idx="9">
                  <c:v>-26825780.542231426</c:v>
                </c:pt>
                <c:pt idx="10">
                  <c:v>-23151399.529746279</c:v>
                </c:pt>
                <c:pt idx="11">
                  <c:v>-18539523.097340647</c:v>
                </c:pt>
                <c:pt idx="12">
                  <c:v>-14084389.252483075</c:v>
                </c:pt>
                <c:pt idx="13">
                  <c:v>-9781887.3751716688</c:v>
                </c:pt>
                <c:pt idx="14">
                  <c:v>-5627879.8964751642</c:v>
                </c:pt>
                <c:pt idx="15">
                  <c:v>-1618220.9301715833</c:v>
                </c:pt>
                <c:pt idx="16">
                  <c:v>2251227.4439150942</c:v>
                </c:pt>
                <c:pt idx="17">
                  <c:v>5737765.0074537825</c:v>
                </c:pt>
                <c:pt idx="18">
                  <c:v>9101818.9538754188</c:v>
                </c:pt>
                <c:pt idx="19">
                  <c:v>12347430.785597689</c:v>
                </c:pt>
                <c:pt idx="20">
                  <c:v>15478529.927285846</c:v>
                </c:pt>
                <c:pt idx="21">
                  <c:v>18498934.990128666</c:v>
                </c:pt>
                <c:pt idx="22">
                  <c:v>21412355.211971834</c:v>
                </c:pt>
                <c:pt idx="23">
                  <c:v>24222392.049577124</c:v>
                </c:pt>
                <c:pt idx="24">
                  <c:v>26932540.901487518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7176592"/>
        <c:axId val="1897177136"/>
      </c:lineChart>
      <c:catAx>
        <c:axId val="1897176592"/>
        <c:scaling>
          <c:orientation val="minMax"/>
        </c:scaling>
        <c:delete val="0"/>
        <c:axPos val="b"/>
        <c:numFmt formatCode="#\ ##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77136"/>
        <c:crosses val="autoZero"/>
        <c:auto val="1"/>
        <c:lblAlgn val="ctr"/>
        <c:lblOffset val="100"/>
        <c:noMultiLvlLbl val="0"/>
      </c:catAx>
      <c:valAx>
        <c:axId val="1897177136"/>
        <c:scaling>
          <c:orientation val="minMax"/>
        </c:scaling>
        <c:delete val="0"/>
        <c:axPos val="l"/>
        <c:majorGridlines/>
        <c:numFmt formatCode="_(* #\ ##0_);_(* \(#\ ##0\);_(* &quot;-&quot;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765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1578421578421578"/>
          <c:y val="0.89019948758994938"/>
          <c:w val="0.66433566433566438"/>
          <c:h val="7.8431672915414044E-2"/>
        </c:manualLayout>
      </c:layout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7184752"/>
        <c:axId val="1897189104"/>
      </c:lineChart>
      <c:catAx>
        <c:axId val="189718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89104"/>
        <c:crosses val="autoZero"/>
        <c:auto val="1"/>
        <c:lblAlgn val="ctr"/>
        <c:lblOffset val="100"/>
        <c:noMultiLvlLbl val="0"/>
      </c:catAx>
      <c:valAx>
        <c:axId val="18971891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847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7189648"/>
        <c:axId val="1897173328"/>
      </c:lineChart>
      <c:catAx>
        <c:axId val="189718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73328"/>
        <c:crosses val="autoZero"/>
        <c:auto val="1"/>
        <c:lblAlgn val="ctr"/>
        <c:lblOffset val="100"/>
        <c:noMultiLvlLbl val="0"/>
      </c:catAx>
      <c:valAx>
        <c:axId val="18971733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896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7191280"/>
        <c:axId val="1897192368"/>
      </c:lineChart>
      <c:catAx>
        <c:axId val="189719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92368"/>
        <c:crosses val="autoZero"/>
        <c:auto val="1"/>
        <c:lblAlgn val="ctr"/>
        <c:lblOffset val="100"/>
        <c:noMultiLvlLbl val="0"/>
      </c:catAx>
      <c:valAx>
        <c:axId val="18971923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912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7193456"/>
        <c:axId val="1897194000"/>
      </c:lineChart>
      <c:catAx>
        <c:axId val="189719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94000"/>
        <c:crosses val="autoZero"/>
        <c:auto val="1"/>
        <c:lblAlgn val="ctr"/>
        <c:lblOffset val="100"/>
        <c:noMultiLvlLbl val="0"/>
      </c:catAx>
      <c:valAx>
        <c:axId val="18971940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934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7198896"/>
        <c:axId val="1897197264"/>
      </c:lineChart>
      <c:catAx>
        <c:axId val="189719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97264"/>
        <c:crosses val="autoZero"/>
        <c:auto val="1"/>
        <c:lblAlgn val="ctr"/>
        <c:lblOffset val="100"/>
        <c:noMultiLvlLbl val="0"/>
      </c:catAx>
      <c:valAx>
        <c:axId val="18971972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988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7196720"/>
        <c:axId val="1897195632"/>
      </c:lineChart>
      <c:catAx>
        <c:axId val="189719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95632"/>
        <c:crosses val="autoZero"/>
        <c:auto val="1"/>
        <c:lblAlgn val="ctr"/>
        <c:lblOffset val="100"/>
        <c:noMultiLvlLbl val="0"/>
      </c:catAx>
      <c:valAx>
        <c:axId val="18971956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967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0934736"/>
        <c:axId val="1830930928"/>
      </c:lineChart>
      <c:catAx>
        <c:axId val="183093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30930928"/>
        <c:crosses val="autoZero"/>
        <c:auto val="1"/>
        <c:lblAlgn val="ctr"/>
        <c:lblOffset val="100"/>
        <c:noMultiLvlLbl val="0"/>
      </c:catAx>
      <c:valAx>
        <c:axId val="18309309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309347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7199440"/>
        <c:axId val="1897199984"/>
      </c:lineChart>
      <c:catAx>
        <c:axId val="189719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99984"/>
        <c:crosses val="autoZero"/>
        <c:auto val="1"/>
        <c:lblAlgn val="ctr"/>
        <c:lblOffset val="100"/>
        <c:noMultiLvlLbl val="0"/>
      </c:catAx>
      <c:valAx>
        <c:axId val="18971999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71994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9855024"/>
        <c:axId val="1899855568"/>
      </c:lineChart>
      <c:catAx>
        <c:axId val="189985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55568"/>
        <c:crosses val="autoZero"/>
        <c:auto val="1"/>
        <c:lblAlgn val="ctr"/>
        <c:lblOffset val="100"/>
        <c:noMultiLvlLbl val="0"/>
      </c:catAx>
      <c:valAx>
        <c:axId val="18998555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550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9862096"/>
        <c:axId val="1899856112"/>
      </c:lineChart>
      <c:catAx>
        <c:axId val="189986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56112"/>
        <c:crosses val="autoZero"/>
        <c:auto val="1"/>
        <c:lblAlgn val="ctr"/>
        <c:lblOffset val="100"/>
        <c:noMultiLvlLbl val="0"/>
      </c:catAx>
      <c:valAx>
        <c:axId val="18998561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620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9858832"/>
        <c:axId val="1899859376"/>
      </c:lineChart>
      <c:catAx>
        <c:axId val="189985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59376"/>
        <c:crosses val="autoZero"/>
        <c:auto val="1"/>
        <c:lblAlgn val="ctr"/>
        <c:lblOffset val="100"/>
        <c:noMultiLvlLbl val="0"/>
      </c:catAx>
      <c:valAx>
        <c:axId val="18998593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588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9868080"/>
        <c:axId val="1899863728"/>
      </c:lineChart>
      <c:catAx>
        <c:axId val="189986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63728"/>
        <c:crosses val="autoZero"/>
        <c:auto val="1"/>
        <c:lblAlgn val="ctr"/>
        <c:lblOffset val="100"/>
        <c:noMultiLvlLbl val="0"/>
      </c:catAx>
      <c:valAx>
        <c:axId val="1899863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680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9853936"/>
        <c:axId val="1899861008"/>
      </c:lineChart>
      <c:catAx>
        <c:axId val="189985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61008"/>
        <c:crosses val="autoZero"/>
        <c:auto val="1"/>
        <c:lblAlgn val="ctr"/>
        <c:lblOffset val="100"/>
        <c:noMultiLvlLbl val="0"/>
      </c:catAx>
      <c:valAx>
        <c:axId val="18998610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539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9869712"/>
        <c:axId val="1899872976"/>
      </c:lineChart>
      <c:catAx>
        <c:axId val="189986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72976"/>
        <c:crosses val="autoZero"/>
        <c:auto val="1"/>
        <c:lblAlgn val="ctr"/>
        <c:lblOffset val="100"/>
        <c:noMultiLvlLbl val="0"/>
      </c:catAx>
      <c:valAx>
        <c:axId val="18998729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697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9874064"/>
        <c:axId val="1899860464"/>
      </c:lineChart>
      <c:catAx>
        <c:axId val="189987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60464"/>
        <c:crosses val="autoZero"/>
        <c:auto val="1"/>
        <c:lblAlgn val="ctr"/>
        <c:lblOffset val="100"/>
        <c:noMultiLvlLbl val="0"/>
      </c:catAx>
      <c:valAx>
        <c:axId val="18998604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740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9864272"/>
        <c:axId val="1899870800"/>
      </c:lineChart>
      <c:catAx>
        <c:axId val="189986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70800"/>
        <c:crosses val="autoZero"/>
        <c:auto val="1"/>
        <c:lblAlgn val="ctr"/>
        <c:lblOffset val="100"/>
        <c:noMultiLvlLbl val="0"/>
      </c:catAx>
      <c:valAx>
        <c:axId val="18998708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642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9871344"/>
        <c:axId val="1899881680"/>
      </c:lineChart>
      <c:catAx>
        <c:axId val="189987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81680"/>
        <c:crosses val="autoZero"/>
        <c:auto val="1"/>
        <c:lblAlgn val="ctr"/>
        <c:lblOffset val="100"/>
        <c:noMultiLvlLbl val="0"/>
      </c:catAx>
      <c:valAx>
        <c:axId val="18998816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713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0932016"/>
        <c:axId val="1830933104"/>
      </c:lineChart>
      <c:catAx>
        <c:axId val="183093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30933104"/>
        <c:crosses val="autoZero"/>
        <c:auto val="1"/>
        <c:lblAlgn val="ctr"/>
        <c:lblOffset val="100"/>
        <c:noMultiLvlLbl val="0"/>
      </c:catAx>
      <c:valAx>
        <c:axId val="18309331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309320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9874608"/>
        <c:axId val="1899875152"/>
      </c:lineChart>
      <c:catAx>
        <c:axId val="189987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75152"/>
        <c:crosses val="autoZero"/>
        <c:auto val="1"/>
        <c:lblAlgn val="ctr"/>
        <c:lblOffset val="100"/>
        <c:noMultiLvlLbl val="0"/>
      </c:catAx>
      <c:valAx>
        <c:axId val="18998751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746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9879504"/>
        <c:axId val="1899872432"/>
      </c:lineChart>
      <c:catAx>
        <c:axId val="189987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72432"/>
        <c:crosses val="autoZero"/>
        <c:auto val="1"/>
        <c:lblAlgn val="ctr"/>
        <c:lblOffset val="100"/>
        <c:noMultiLvlLbl val="0"/>
      </c:catAx>
      <c:valAx>
        <c:axId val="18998724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795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9876240"/>
        <c:axId val="1899878960"/>
      </c:lineChart>
      <c:catAx>
        <c:axId val="189987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78960"/>
        <c:crosses val="autoZero"/>
        <c:auto val="1"/>
        <c:lblAlgn val="ctr"/>
        <c:lblOffset val="100"/>
        <c:noMultiLvlLbl val="0"/>
      </c:catAx>
      <c:valAx>
        <c:axId val="18998789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762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9877872"/>
        <c:axId val="1899880592"/>
      </c:lineChart>
      <c:catAx>
        <c:axId val="189987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80592"/>
        <c:crosses val="autoZero"/>
        <c:auto val="1"/>
        <c:lblAlgn val="ctr"/>
        <c:lblOffset val="100"/>
        <c:noMultiLvlLbl val="0"/>
      </c:catAx>
      <c:valAx>
        <c:axId val="18998805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778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9883312"/>
        <c:axId val="1899866992"/>
      </c:lineChart>
      <c:catAx>
        <c:axId val="189988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66992"/>
        <c:crosses val="autoZero"/>
        <c:auto val="1"/>
        <c:lblAlgn val="ctr"/>
        <c:lblOffset val="100"/>
        <c:noMultiLvlLbl val="0"/>
      </c:catAx>
      <c:valAx>
        <c:axId val="18998669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833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9831088"/>
        <c:axId val="1899826736"/>
      </c:lineChart>
      <c:catAx>
        <c:axId val="1899831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26736"/>
        <c:crosses val="autoZero"/>
        <c:auto val="1"/>
        <c:lblAlgn val="ctr"/>
        <c:lblOffset val="100"/>
        <c:noMultiLvlLbl val="0"/>
      </c:catAx>
      <c:valAx>
        <c:axId val="1899826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310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9822928"/>
        <c:axId val="1899824560"/>
      </c:lineChart>
      <c:catAx>
        <c:axId val="189982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24560"/>
        <c:crosses val="autoZero"/>
        <c:auto val="1"/>
        <c:lblAlgn val="ctr"/>
        <c:lblOffset val="100"/>
        <c:noMultiLvlLbl val="0"/>
      </c:catAx>
      <c:valAx>
        <c:axId val="18998245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229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9831632"/>
        <c:axId val="1899825104"/>
      </c:lineChart>
      <c:catAx>
        <c:axId val="18998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25104"/>
        <c:crosses val="autoZero"/>
        <c:auto val="1"/>
        <c:lblAlgn val="ctr"/>
        <c:lblOffset val="100"/>
        <c:noMultiLvlLbl val="0"/>
      </c:catAx>
      <c:valAx>
        <c:axId val="18998251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316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9832720"/>
        <c:axId val="1899833264"/>
      </c:lineChart>
      <c:catAx>
        <c:axId val="189983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33264"/>
        <c:crosses val="autoZero"/>
        <c:auto val="1"/>
        <c:lblAlgn val="ctr"/>
        <c:lblOffset val="100"/>
        <c:noMultiLvlLbl val="0"/>
      </c:catAx>
      <c:valAx>
        <c:axId val="18998332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327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9834352"/>
        <c:axId val="1899827280"/>
      </c:lineChart>
      <c:catAx>
        <c:axId val="189983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27280"/>
        <c:crosses val="autoZero"/>
        <c:auto val="1"/>
        <c:lblAlgn val="ctr"/>
        <c:lblOffset val="100"/>
        <c:noMultiLvlLbl val="0"/>
      </c:catAx>
      <c:valAx>
        <c:axId val="18998272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343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0935280"/>
        <c:axId val="1830935824"/>
      </c:lineChart>
      <c:catAx>
        <c:axId val="183093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30935824"/>
        <c:crosses val="autoZero"/>
        <c:auto val="1"/>
        <c:lblAlgn val="ctr"/>
        <c:lblOffset val="100"/>
        <c:noMultiLvlLbl val="0"/>
      </c:catAx>
      <c:valAx>
        <c:axId val="18309358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309352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9828912"/>
        <c:axId val="1899823472"/>
      </c:lineChart>
      <c:catAx>
        <c:axId val="189982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23472"/>
        <c:crosses val="autoZero"/>
        <c:auto val="1"/>
        <c:lblAlgn val="ctr"/>
        <c:lblOffset val="100"/>
        <c:noMultiLvlLbl val="0"/>
      </c:catAx>
      <c:valAx>
        <c:axId val="18998234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289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9819664"/>
        <c:axId val="1899829456"/>
      </c:lineChart>
      <c:catAx>
        <c:axId val="189981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29456"/>
        <c:crosses val="autoZero"/>
        <c:auto val="1"/>
        <c:lblAlgn val="ctr"/>
        <c:lblOffset val="100"/>
        <c:noMultiLvlLbl val="0"/>
      </c:catAx>
      <c:valAx>
        <c:axId val="1899829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196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9830544"/>
        <c:axId val="1899836528"/>
      </c:lineChart>
      <c:catAx>
        <c:axId val="189983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36528"/>
        <c:crosses val="autoZero"/>
        <c:auto val="1"/>
        <c:lblAlgn val="ctr"/>
        <c:lblOffset val="100"/>
        <c:noMultiLvlLbl val="0"/>
      </c:catAx>
      <c:valAx>
        <c:axId val="18998365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305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9820752"/>
        <c:axId val="1899837616"/>
      </c:lineChart>
      <c:catAx>
        <c:axId val="189982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37616"/>
        <c:crosses val="autoZero"/>
        <c:auto val="1"/>
        <c:lblAlgn val="ctr"/>
        <c:lblOffset val="100"/>
        <c:noMultiLvlLbl val="0"/>
      </c:catAx>
      <c:valAx>
        <c:axId val="18998376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207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9840336"/>
        <c:axId val="1899838704"/>
      </c:lineChart>
      <c:catAx>
        <c:axId val="189984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38704"/>
        <c:crosses val="autoZero"/>
        <c:auto val="1"/>
        <c:lblAlgn val="ctr"/>
        <c:lblOffset val="100"/>
        <c:noMultiLvlLbl val="0"/>
      </c:catAx>
      <c:valAx>
        <c:axId val="1899838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403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9853392"/>
        <c:axId val="1899846864"/>
      </c:lineChart>
      <c:catAx>
        <c:axId val="189985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46864"/>
        <c:crosses val="autoZero"/>
        <c:auto val="1"/>
        <c:lblAlgn val="ctr"/>
        <c:lblOffset val="100"/>
        <c:noMultiLvlLbl val="0"/>
      </c:catAx>
      <c:valAx>
        <c:axId val="1899846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533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9839248"/>
        <c:axId val="1899841968"/>
      </c:lineChart>
      <c:catAx>
        <c:axId val="189983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41968"/>
        <c:crosses val="autoZero"/>
        <c:auto val="1"/>
        <c:lblAlgn val="ctr"/>
        <c:lblOffset val="100"/>
        <c:noMultiLvlLbl val="0"/>
      </c:catAx>
      <c:valAx>
        <c:axId val="18998419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392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9848496"/>
        <c:axId val="1899849584"/>
      </c:lineChart>
      <c:catAx>
        <c:axId val="189984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49584"/>
        <c:crosses val="autoZero"/>
        <c:auto val="1"/>
        <c:lblAlgn val="ctr"/>
        <c:lblOffset val="100"/>
        <c:noMultiLvlLbl val="0"/>
      </c:catAx>
      <c:valAx>
        <c:axId val="1899849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484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9843600"/>
        <c:axId val="1899846320"/>
      </c:lineChart>
      <c:catAx>
        <c:axId val="189984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46320"/>
        <c:crosses val="autoZero"/>
        <c:auto val="1"/>
        <c:lblAlgn val="ctr"/>
        <c:lblOffset val="100"/>
        <c:noMultiLvlLbl val="0"/>
      </c:catAx>
      <c:valAx>
        <c:axId val="18998463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436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9843056"/>
        <c:axId val="1899852848"/>
      </c:lineChart>
      <c:catAx>
        <c:axId val="189984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52848"/>
        <c:crosses val="autoZero"/>
        <c:auto val="1"/>
        <c:lblAlgn val="ctr"/>
        <c:lblOffset val="100"/>
        <c:noMultiLvlLbl val="0"/>
      </c:catAx>
      <c:valAx>
        <c:axId val="18998528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430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0936368"/>
        <c:axId val="1830938000"/>
      </c:lineChart>
      <c:catAx>
        <c:axId val="183093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30938000"/>
        <c:crosses val="autoZero"/>
        <c:auto val="1"/>
        <c:lblAlgn val="ctr"/>
        <c:lblOffset val="100"/>
        <c:noMultiLvlLbl val="0"/>
      </c:catAx>
      <c:valAx>
        <c:axId val="18309380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309363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9844688"/>
        <c:axId val="1899851216"/>
      </c:lineChart>
      <c:catAx>
        <c:axId val="1899844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51216"/>
        <c:crosses val="autoZero"/>
        <c:auto val="1"/>
        <c:lblAlgn val="ctr"/>
        <c:lblOffset val="100"/>
        <c:noMultiLvlLbl val="0"/>
      </c:catAx>
      <c:valAx>
        <c:axId val="18998512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98446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603824"/>
        <c:axId val="1902591856"/>
      </c:lineChart>
      <c:catAx>
        <c:axId val="190260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591856"/>
        <c:crosses val="autoZero"/>
        <c:auto val="1"/>
        <c:lblAlgn val="ctr"/>
        <c:lblOffset val="100"/>
        <c:noMultiLvlLbl val="0"/>
      </c:catAx>
      <c:valAx>
        <c:axId val="19025918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038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592944"/>
        <c:axId val="1902598384"/>
      </c:lineChart>
      <c:catAx>
        <c:axId val="190259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598384"/>
        <c:crosses val="autoZero"/>
        <c:auto val="1"/>
        <c:lblAlgn val="ctr"/>
        <c:lblOffset val="100"/>
        <c:noMultiLvlLbl val="0"/>
      </c:catAx>
      <c:valAx>
        <c:axId val="19025983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5929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590224"/>
        <c:axId val="1902601104"/>
      </c:lineChart>
      <c:catAx>
        <c:axId val="190259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01104"/>
        <c:crosses val="autoZero"/>
        <c:auto val="1"/>
        <c:lblAlgn val="ctr"/>
        <c:lblOffset val="100"/>
        <c:noMultiLvlLbl val="0"/>
      </c:catAx>
      <c:valAx>
        <c:axId val="19026011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5902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592400"/>
        <c:axId val="1902604368"/>
      </c:lineChart>
      <c:catAx>
        <c:axId val="190259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04368"/>
        <c:crosses val="autoZero"/>
        <c:auto val="1"/>
        <c:lblAlgn val="ctr"/>
        <c:lblOffset val="100"/>
        <c:noMultiLvlLbl val="0"/>
      </c:catAx>
      <c:valAx>
        <c:axId val="19026043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5924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594032"/>
        <c:axId val="1902601648"/>
      </c:lineChart>
      <c:catAx>
        <c:axId val="190259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01648"/>
        <c:crosses val="autoZero"/>
        <c:auto val="1"/>
        <c:lblAlgn val="ctr"/>
        <c:lblOffset val="100"/>
        <c:noMultiLvlLbl val="0"/>
      </c:catAx>
      <c:valAx>
        <c:axId val="19026016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5940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596208"/>
        <c:axId val="1902595120"/>
      </c:lineChart>
      <c:catAx>
        <c:axId val="190259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595120"/>
        <c:crosses val="autoZero"/>
        <c:auto val="1"/>
        <c:lblAlgn val="ctr"/>
        <c:lblOffset val="100"/>
        <c:noMultiLvlLbl val="0"/>
      </c:catAx>
      <c:valAx>
        <c:axId val="19025951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5962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/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1846549758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82942779634614"/>
          <c:y val="9.9557370143547624E-2"/>
          <c:w val="0.7765295092284884"/>
          <c:h val="0.80442543447501413"/>
        </c:manualLayout>
      </c:layout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Ref>
              <c:f>'приложение 2.3'!$C$202:$AA$202</c:f>
              <c:numCache>
                <c:formatCode>#\ ##0.0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numCache>
            </c:numRef>
          </c:cat>
          <c:val>
            <c:numRef>
              <c:f>'приложение 2.3'!$C$215:$AA$215</c:f>
              <c:numCache>
                <c:formatCode>_(* #\ ##0_);_(* \(#\ ##0\);_(* "-"_);_(@_)</c:formatCode>
                <c:ptCount val="25"/>
                <c:pt idx="0">
                  <c:v>543700.37431934453</c:v>
                </c:pt>
                <c:pt idx="1">
                  <c:v>583180.41055968415</c:v>
                </c:pt>
                <c:pt idx="2">
                  <c:v>561660.83821430837</c:v>
                </c:pt>
                <c:pt idx="3">
                  <c:v>526479.99452955264</c:v>
                </c:pt>
                <c:pt idx="4">
                  <c:v>509765.33771299291</c:v>
                </c:pt>
                <c:pt idx="5">
                  <c:v>493370.96143684076</c:v>
                </c:pt>
                <c:pt idx="6">
                  <c:v>477314.70974143129</c:v>
                </c:pt>
                <c:pt idx="7">
                  <c:v>379980.69083627051</c:v>
                </c:pt>
                <c:pt idx="8">
                  <c:v>363573.05788766016</c:v>
                </c:pt>
                <c:pt idx="9">
                  <c:v>351656.97157448053</c:v>
                </c:pt>
                <c:pt idx="10">
                  <c:v>340006.71257963218</c:v>
                </c:pt>
                <c:pt idx="11">
                  <c:v>328630.41347984399</c:v>
                </c:pt>
                <c:pt idx="12">
                  <c:v>317534.17024596722</c:v>
                </c:pt>
                <c:pt idx="13">
                  <c:v>306722.27878491807</c:v>
                </c:pt>
                <c:pt idx="14">
                  <c:v>296197.4481680321</c:v>
                </c:pt>
                <c:pt idx="15">
                  <c:v>285960.9926974086</c:v>
                </c:pt>
                <c:pt idx="16">
                  <c:v>276013.00476988946</c:v>
                </c:pt>
                <c:pt idx="17">
                  <c:v>266352.51032314013</c:v>
                </c:pt>
                <c:pt idx="18">
                  <c:v>256977.60848846199</c:v>
                </c:pt>
                <c:pt idx="19">
                  <c:v>232842.00452818986</c:v>
                </c:pt>
                <c:pt idx="20">
                  <c:v>224610.34109502207</c:v>
                </c:pt>
                <c:pt idx="21">
                  <c:v>216654.50973863871</c:v>
                </c:pt>
                <c:pt idx="22">
                  <c:v>208966.49564502435</c:v>
                </c:pt>
                <c:pt idx="23">
                  <c:v>201538.41209913325</c:v>
                </c:pt>
                <c:pt idx="24">
                  <c:v>194362.50874936662</c:v>
                </c:pt>
              </c:numCache>
            </c:numRef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Ref>
              <c:f>'приложение 2.3'!$C$202:$AA$202</c:f>
              <c:numCache>
                <c:formatCode>#\ ##0.0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numCache>
            </c:numRef>
          </c:cat>
          <c:val>
            <c:numRef>
              <c:f>'приложение 2.3'!$C$216:$AA$216</c:f>
              <c:numCache>
                <c:formatCode>_(* #\ ##0_);_(* \(#\ ##0\);_(* "-"_);_(@_)</c:formatCode>
                <c:ptCount val="25"/>
                <c:pt idx="0">
                  <c:v>-5856299.6256806562</c:v>
                </c:pt>
                <c:pt idx="1">
                  <c:v>-5273119.2151209721</c:v>
                </c:pt>
                <c:pt idx="2">
                  <c:v>-4711458.3769066641</c:v>
                </c:pt>
                <c:pt idx="3">
                  <c:v>-4184978.3823771114</c:v>
                </c:pt>
                <c:pt idx="4">
                  <c:v>-3675213.0446641184</c:v>
                </c:pt>
                <c:pt idx="5">
                  <c:v>-3181842.0832272777</c:v>
                </c:pt>
                <c:pt idx="6">
                  <c:v>-2704527.3734858464</c:v>
                </c:pt>
                <c:pt idx="7">
                  <c:v>-2324546.6826495761</c:v>
                </c:pt>
                <c:pt idx="8">
                  <c:v>-1960973.624761916</c:v>
                </c:pt>
                <c:pt idx="9">
                  <c:v>-1609316.6531874356</c:v>
                </c:pt>
                <c:pt idx="10">
                  <c:v>-1269309.9406078034</c:v>
                </c:pt>
                <c:pt idx="11">
                  <c:v>-940679.52712795942</c:v>
                </c:pt>
                <c:pt idx="12">
                  <c:v>-623145.35688199219</c:v>
                </c:pt>
                <c:pt idx="13">
                  <c:v>-316423.07809707412</c:v>
                </c:pt>
                <c:pt idx="14">
                  <c:v>-20225.629929042014</c:v>
                </c:pt>
                <c:pt idx="15">
                  <c:v>265735.36276836658</c:v>
                </c:pt>
                <c:pt idx="16">
                  <c:v>541748.36753825611</c:v>
                </c:pt>
                <c:pt idx="17">
                  <c:v>808100.87786139618</c:v>
                </c:pt>
                <c:pt idx="18">
                  <c:v>1065078.4863498581</c:v>
                </c:pt>
                <c:pt idx="19">
                  <c:v>1297920.4908780479</c:v>
                </c:pt>
                <c:pt idx="20">
                  <c:v>1522530.83197307</c:v>
                </c:pt>
                <c:pt idx="21">
                  <c:v>1739185.3417117088</c:v>
                </c:pt>
                <c:pt idx="22">
                  <c:v>1948151.8373567332</c:v>
                </c:pt>
                <c:pt idx="23">
                  <c:v>2149690.2494558664</c:v>
                </c:pt>
                <c:pt idx="24">
                  <c:v>2344052.7582052331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597840"/>
        <c:axId val="1902598928"/>
      </c:lineChart>
      <c:catAx>
        <c:axId val="1902597840"/>
        <c:scaling>
          <c:orientation val="minMax"/>
        </c:scaling>
        <c:delete val="0"/>
        <c:axPos val="b"/>
        <c:numFmt formatCode="#\ ##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598928"/>
        <c:crosses val="autoZero"/>
        <c:auto val="1"/>
        <c:lblAlgn val="ctr"/>
        <c:lblOffset val="100"/>
        <c:noMultiLvlLbl val="0"/>
      </c:catAx>
      <c:valAx>
        <c:axId val="1902598928"/>
        <c:scaling>
          <c:orientation val="minMax"/>
        </c:scaling>
        <c:delete val="0"/>
        <c:axPos val="l"/>
        <c:majorGridlines/>
        <c:numFmt formatCode="_(* #\ ##0_);_(* \(#\ ##0\);_(* &quot;-&quot;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5978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1578421578421578"/>
          <c:y val="0.89019948758994938"/>
          <c:w val="0.66433566433566438"/>
          <c:h val="7.8431672915414044E-2"/>
        </c:manualLayout>
      </c:layout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602192"/>
        <c:axId val="1902602736"/>
      </c:lineChart>
      <c:catAx>
        <c:axId val="190260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02736"/>
        <c:crosses val="autoZero"/>
        <c:auto val="1"/>
        <c:lblAlgn val="ctr"/>
        <c:lblOffset val="100"/>
        <c:noMultiLvlLbl val="0"/>
      </c:catAx>
      <c:valAx>
        <c:axId val="1902602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021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613616"/>
        <c:axId val="1902608720"/>
      </c:lineChart>
      <c:catAx>
        <c:axId val="190261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08720"/>
        <c:crosses val="autoZero"/>
        <c:auto val="1"/>
        <c:lblAlgn val="ctr"/>
        <c:lblOffset val="100"/>
        <c:noMultiLvlLbl val="0"/>
      </c:catAx>
      <c:valAx>
        <c:axId val="19026087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136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4107120"/>
        <c:axId val="1884094608"/>
      </c:lineChart>
      <c:catAx>
        <c:axId val="188410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4094608"/>
        <c:crosses val="autoZero"/>
        <c:auto val="1"/>
        <c:lblAlgn val="ctr"/>
        <c:lblOffset val="100"/>
        <c:noMultiLvlLbl val="0"/>
      </c:catAx>
      <c:valAx>
        <c:axId val="18840946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41071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609264"/>
        <c:axId val="1902607088"/>
      </c:lineChart>
      <c:catAx>
        <c:axId val="190260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07088"/>
        <c:crosses val="autoZero"/>
        <c:auto val="1"/>
        <c:lblAlgn val="ctr"/>
        <c:lblOffset val="100"/>
        <c:noMultiLvlLbl val="0"/>
      </c:catAx>
      <c:valAx>
        <c:axId val="19026070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092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614704"/>
        <c:axId val="1902606000"/>
      </c:lineChart>
      <c:catAx>
        <c:axId val="190261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06000"/>
        <c:crosses val="autoZero"/>
        <c:auto val="1"/>
        <c:lblAlgn val="ctr"/>
        <c:lblOffset val="100"/>
        <c:noMultiLvlLbl val="0"/>
      </c:catAx>
      <c:valAx>
        <c:axId val="19026060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147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608176"/>
        <c:axId val="1902617424"/>
      </c:lineChart>
      <c:catAx>
        <c:axId val="190260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17424"/>
        <c:crosses val="autoZero"/>
        <c:auto val="1"/>
        <c:lblAlgn val="ctr"/>
        <c:lblOffset val="100"/>
        <c:noMultiLvlLbl val="0"/>
      </c:catAx>
      <c:valAx>
        <c:axId val="19026174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081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615792"/>
        <c:axId val="1902615248"/>
      </c:lineChart>
      <c:catAx>
        <c:axId val="190261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15248"/>
        <c:crosses val="autoZero"/>
        <c:auto val="1"/>
        <c:lblAlgn val="ctr"/>
        <c:lblOffset val="100"/>
        <c:noMultiLvlLbl val="0"/>
      </c:catAx>
      <c:valAx>
        <c:axId val="19026152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157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619600"/>
        <c:axId val="1902620144"/>
      </c:lineChart>
      <c:catAx>
        <c:axId val="190261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20144"/>
        <c:crosses val="autoZero"/>
        <c:auto val="1"/>
        <c:lblAlgn val="ctr"/>
        <c:lblOffset val="100"/>
        <c:noMultiLvlLbl val="0"/>
      </c:catAx>
      <c:valAx>
        <c:axId val="19026201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196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610352"/>
        <c:axId val="1902606544"/>
      </c:lineChart>
      <c:catAx>
        <c:axId val="190261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06544"/>
        <c:crosses val="autoZero"/>
        <c:auto val="1"/>
        <c:lblAlgn val="ctr"/>
        <c:lblOffset val="100"/>
        <c:noMultiLvlLbl val="0"/>
      </c:catAx>
      <c:valAx>
        <c:axId val="19026065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103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611440"/>
        <c:axId val="1902607632"/>
      </c:lineChart>
      <c:catAx>
        <c:axId val="190261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07632"/>
        <c:crosses val="autoZero"/>
        <c:auto val="1"/>
        <c:lblAlgn val="ctr"/>
        <c:lblOffset val="100"/>
        <c:noMultiLvlLbl val="0"/>
      </c:catAx>
      <c:valAx>
        <c:axId val="19026076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114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626672"/>
        <c:axId val="1902635376"/>
      </c:lineChart>
      <c:catAx>
        <c:axId val="190262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35376"/>
        <c:crosses val="autoZero"/>
        <c:auto val="1"/>
        <c:lblAlgn val="ctr"/>
        <c:lblOffset val="100"/>
        <c:noMultiLvlLbl val="0"/>
      </c:catAx>
      <c:valAx>
        <c:axId val="19026353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266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636464"/>
        <c:axId val="1902638640"/>
      </c:lineChart>
      <c:catAx>
        <c:axId val="190263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38640"/>
        <c:crosses val="autoZero"/>
        <c:auto val="1"/>
        <c:lblAlgn val="ctr"/>
        <c:lblOffset val="100"/>
        <c:noMultiLvlLbl val="0"/>
      </c:catAx>
      <c:valAx>
        <c:axId val="1902638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364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625040"/>
        <c:axId val="1902634288"/>
      </c:lineChart>
      <c:catAx>
        <c:axId val="190262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34288"/>
        <c:crosses val="autoZero"/>
        <c:auto val="1"/>
        <c:lblAlgn val="ctr"/>
        <c:lblOffset val="100"/>
        <c:noMultiLvlLbl val="0"/>
      </c:catAx>
      <c:valAx>
        <c:axId val="190263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250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4097328"/>
        <c:axId val="1884103856"/>
      </c:lineChart>
      <c:catAx>
        <c:axId val="188409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4103856"/>
        <c:crosses val="autoZero"/>
        <c:auto val="1"/>
        <c:lblAlgn val="ctr"/>
        <c:lblOffset val="100"/>
        <c:noMultiLvlLbl val="0"/>
      </c:catAx>
      <c:valAx>
        <c:axId val="18841038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40973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631568"/>
        <c:axId val="1902624496"/>
      </c:lineChart>
      <c:catAx>
        <c:axId val="190263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24496"/>
        <c:crosses val="autoZero"/>
        <c:auto val="1"/>
        <c:lblAlgn val="ctr"/>
        <c:lblOffset val="100"/>
        <c:noMultiLvlLbl val="0"/>
      </c:catAx>
      <c:valAx>
        <c:axId val="19026244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315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628304"/>
        <c:axId val="1902637552"/>
      </c:lineChart>
      <c:catAx>
        <c:axId val="190262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37552"/>
        <c:crosses val="autoZero"/>
        <c:auto val="1"/>
        <c:lblAlgn val="ctr"/>
        <c:lblOffset val="100"/>
        <c:noMultiLvlLbl val="0"/>
      </c:catAx>
      <c:valAx>
        <c:axId val="19026375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283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639728"/>
        <c:axId val="1902633200"/>
      </c:lineChart>
      <c:catAx>
        <c:axId val="190263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33200"/>
        <c:crosses val="autoZero"/>
        <c:auto val="1"/>
        <c:lblAlgn val="ctr"/>
        <c:lblOffset val="100"/>
        <c:noMultiLvlLbl val="0"/>
      </c:catAx>
      <c:valAx>
        <c:axId val="19026332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397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640272"/>
        <c:axId val="1902623952"/>
      </c:lineChart>
      <c:catAx>
        <c:axId val="190264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23952"/>
        <c:crosses val="autoZero"/>
        <c:auto val="1"/>
        <c:lblAlgn val="ctr"/>
        <c:lblOffset val="100"/>
        <c:noMultiLvlLbl val="0"/>
      </c:catAx>
      <c:valAx>
        <c:axId val="19026239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402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633744"/>
        <c:axId val="1902641904"/>
      </c:lineChart>
      <c:catAx>
        <c:axId val="190263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41904"/>
        <c:crosses val="autoZero"/>
        <c:auto val="1"/>
        <c:lblAlgn val="ctr"/>
        <c:lblOffset val="100"/>
        <c:noMultiLvlLbl val="0"/>
      </c:catAx>
      <c:valAx>
        <c:axId val="19026419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337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627216"/>
        <c:axId val="1902642992"/>
      </c:lineChart>
      <c:catAx>
        <c:axId val="190262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42992"/>
        <c:crosses val="autoZero"/>
        <c:auto val="1"/>
        <c:lblAlgn val="ctr"/>
        <c:lblOffset val="100"/>
        <c:noMultiLvlLbl val="0"/>
      </c:catAx>
      <c:valAx>
        <c:axId val="19026429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272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644624"/>
        <c:axId val="1902645168"/>
      </c:lineChart>
      <c:catAx>
        <c:axId val="190264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45168"/>
        <c:crosses val="autoZero"/>
        <c:auto val="1"/>
        <c:lblAlgn val="ctr"/>
        <c:lblOffset val="100"/>
        <c:noMultiLvlLbl val="0"/>
      </c:catAx>
      <c:valAx>
        <c:axId val="19026451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446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646256"/>
        <c:axId val="1902629936"/>
      </c:lineChart>
      <c:catAx>
        <c:axId val="190264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29936"/>
        <c:crosses val="autoZero"/>
        <c:auto val="1"/>
        <c:lblAlgn val="ctr"/>
        <c:lblOffset val="100"/>
        <c:noMultiLvlLbl val="0"/>
      </c:catAx>
      <c:valAx>
        <c:axId val="19026299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462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647344"/>
        <c:axId val="1902631024"/>
      </c:lineChart>
      <c:catAx>
        <c:axId val="190264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31024"/>
        <c:crosses val="autoZero"/>
        <c:auto val="1"/>
        <c:lblAlgn val="ctr"/>
        <c:lblOffset val="100"/>
        <c:noMultiLvlLbl val="0"/>
      </c:catAx>
      <c:valAx>
        <c:axId val="19026310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473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649520"/>
        <c:axId val="1902648432"/>
      </c:lineChart>
      <c:catAx>
        <c:axId val="190264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48432"/>
        <c:crosses val="autoZero"/>
        <c:auto val="1"/>
        <c:lblAlgn val="ctr"/>
        <c:lblOffset val="100"/>
        <c:noMultiLvlLbl val="0"/>
      </c:catAx>
      <c:valAx>
        <c:axId val="19026484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495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4096784"/>
        <c:axId val="1884106576"/>
      </c:lineChart>
      <c:catAx>
        <c:axId val="188409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4106576"/>
        <c:crosses val="autoZero"/>
        <c:auto val="1"/>
        <c:lblAlgn val="ctr"/>
        <c:lblOffset val="100"/>
        <c:noMultiLvlLbl val="0"/>
      </c:catAx>
      <c:valAx>
        <c:axId val="18841065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40967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651696"/>
        <c:axId val="1902650608"/>
      </c:lineChart>
      <c:catAx>
        <c:axId val="190265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50608"/>
        <c:crosses val="autoZero"/>
        <c:auto val="1"/>
        <c:lblAlgn val="ctr"/>
        <c:lblOffset val="100"/>
        <c:noMultiLvlLbl val="0"/>
      </c:catAx>
      <c:valAx>
        <c:axId val="19026506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516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653328"/>
        <c:axId val="1902653872"/>
      </c:lineChart>
      <c:catAx>
        <c:axId val="190265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53872"/>
        <c:crosses val="autoZero"/>
        <c:auto val="1"/>
        <c:lblAlgn val="ctr"/>
        <c:lblOffset val="100"/>
        <c:noMultiLvlLbl val="0"/>
      </c:catAx>
      <c:valAx>
        <c:axId val="19026538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533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655504"/>
        <c:axId val="1902656048"/>
      </c:lineChart>
      <c:catAx>
        <c:axId val="190265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56048"/>
        <c:crosses val="autoZero"/>
        <c:auto val="1"/>
        <c:lblAlgn val="ctr"/>
        <c:lblOffset val="100"/>
        <c:noMultiLvlLbl val="0"/>
      </c:catAx>
      <c:valAx>
        <c:axId val="19026560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555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662032"/>
        <c:axId val="1902668016"/>
      </c:lineChart>
      <c:catAx>
        <c:axId val="190266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68016"/>
        <c:crosses val="autoZero"/>
        <c:auto val="1"/>
        <c:lblAlgn val="ctr"/>
        <c:lblOffset val="100"/>
        <c:noMultiLvlLbl val="0"/>
      </c:catAx>
      <c:valAx>
        <c:axId val="19026680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620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662576"/>
        <c:axId val="1902665296"/>
      </c:lineChart>
      <c:catAx>
        <c:axId val="190266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65296"/>
        <c:crosses val="autoZero"/>
        <c:auto val="1"/>
        <c:lblAlgn val="ctr"/>
        <c:lblOffset val="100"/>
        <c:noMultiLvlLbl val="0"/>
      </c:catAx>
      <c:valAx>
        <c:axId val="19026652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625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659856"/>
        <c:axId val="1902673456"/>
      </c:lineChart>
      <c:catAx>
        <c:axId val="190265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73456"/>
        <c:crosses val="autoZero"/>
        <c:auto val="1"/>
        <c:lblAlgn val="ctr"/>
        <c:lblOffset val="100"/>
        <c:noMultiLvlLbl val="0"/>
      </c:catAx>
      <c:valAx>
        <c:axId val="1902673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598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667472"/>
        <c:axId val="1902669648"/>
      </c:lineChart>
      <c:catAx>
        <c:axId val="190266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69648"/>
        <c:crosses val="autoZero"/>
        <c:auto val="1"/>
        <c:lblAlgn val="ctr"/>
        <c:lblOffset val="100"/>
        <c:noMultiLvlLbl val="0"/>
      </c:catAx>
      <c:valAx>
        <c:axId val="19026696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674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658768"/>
        <c:axId val="1902659312"/>
      </c:lineChart>
      <c:catAx>
        <c:axId val="190265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59312"/>
        <c:crosses val="autoZero"/>
        <c:auto val="1"/>
        <c:lblAlgn val="ctr"/>
        <c:lblOffset val="100"/>
        <c:noMultiLvlLbl val="0"/>
      </c:catAx>
      <c:valAx>
        <c:axId val="19026593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587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663664"/>
        <c:axId val="1902657680"/>
      </c:lineChart>
      <c:catAx>
        <c:axId val="190266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57680"/>
        <c:crosses val="autoZero"/>
        <c:auto val="1"/>
        <c:lblAlgn val="ctr"/>
        <c:lblOffset val="100"/>
        <c:noMultiLvlLbl val="0"/>
      </c:catAx>
      <c:valAx>
        <c:axId val="19026576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636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677264"/>
        <c:axId val="1902676720"/>
      </c:lineChart>
      <c:catAx>
        <c:axId val="190267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76720"/>
        <c:crosses val="autoZero"/>
        <c:auto val="1"/>
        <c:lblAlgn val="ctr"/>
        <c:lblOffset val="100"/>
        <c:noMultiLvlLbl val="0"/>
      </c:catAx>
      <c:valAx>
        <c:axId val="19026767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772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4108752"/>
        <c:axId val="1884100592"/>
      </c:lineChart>
      <c:catAx>
        <c:axId val="188410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4100592"/>
        <c:crosses val="autoZero"/>
        <c:auto val="1"/>
        <c:lblAlgn val="ctr"/>
        <c:lblOffset val="100"/>
        <c:noMultiLvlLbl val="0"/>
      </c:catAx>
      <c:valAx>
        <c:axId val="18841005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41087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660944"/>
        <c:axId val="1902672912"/>
      </c:lineChart>
      <c:catAx>
        <c:axId val="190266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72912"/>
        <c:crosses val="autoZero"/>
        <c:auto val="1"/>
        <c:lblAlgn val="ctr"/>
        <c:lblOffset val="100"/>
        <c:noMultiLvlLbl val="0"/>
      </c:catAx>
      <c:valAx>
        <c:axId val="1902672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609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677808"/>
        <c:axId val="1902666928"/>
      </c:lineChart>
      <c:catAx>
        <c:axId val="190267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66928"/>
        <c:crosses val="autoZero"/>
        <c:auto val="1"/>
        <c:lblAlgn val="ctr"/>
        <c:lblOffset val="100"/>
        <c:noMultiLvlLbl val="0"/>
      </c:catAx>
      <c:valAx>
        <c:axId val="19026669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778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675632"/>
        <c:axId val="1902676176"/>
      </c:lineChart>
      <c:catAx>
        <c:axId val="190267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76176"/>
        <c:crosses val="autoZero"/>
        <c:auto val="1"/>
        <c:lblAlgn val="ctr"/>
        <c:lblOffset val="100"/>
        <c:noMultiLvlLbl val="0"/>
      </c:catAx>
      <c:valAx>
        <c:axId val="19026761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756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679440"/>
        <c:axId val="1902679984"/>
      </c:lineChart>
      <c:catAx>
        <c:axId val="190267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79984"/>
        <c:crosses val="autoZero"/>
        <c:auto val="1"/>
        <c:lblAlgn val="ctr"/>
        <c:lblOffset val="100"/>
        <c:noMultiLvlLbl val="0"/>
      </c:catAx>
      <c:valAx>
        <c:axId val="19026799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794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689776"/>
        <c:axId val="1902681616"/>
      </c:lineChart>
      <c:catAx>
        <c:axId val="190268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81616"/>
        <c:crosses val="autoZero"/>
        <c:auto val="1"/>
        <c:lblAlgn val="ctr"/>
        <c:lblOffset val="100"/>
        <c:noMultiLvlLbl val="0"/>
      </c:catAx>
      <c:valAx>
        <c:axId val="19026816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897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691952"/>
        <c:axId val="1902690864"/>
      </c:lineChart>
      <c:catAx>
        <c:axId val="190269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90864"/>
        <c:crosses val="autoZero"/>
        <c:auto val="1"/>
        <c:lblAlgn val="ctr"/>
        <c:lblOffset val="100"/>
        <c:noMultiLvlLbl val="0"/>
      </c:catAx>
      <c:valAx>
        <c:axId val="1902690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919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682704"/>
        <c:axId val="1902683792"/>
      </c:lineChart>
      <c:catAx>
        <c:axId val="190268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83792"/>
        <c:crosses val="autoZero"/>
        <c:auto val="1"/>
        <c:lblAlgn val="ctr"/>
        <c:lblOffset val="100"/>
        <c:noMultiLvlLbl val="0"/>
      </c:catAx>
      <c:valAx>
        <c:axId val="19026837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827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684336"/>
        <c:axId val="1902684880"/>
      </c:lineChart>
      <c:catAx>
        <c:axId val="190268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84880"/>
        <c:crosses val="autoZero"/>
        <c:auto val="1"/>
        <c:lblAlgn val="ctr"/>
        <c:lblOffset val="100"/>
        <c:noMultiLvlLbl val="0"/>
      </c:catAx>
      <c:valAx>
        <c:axId val="19026848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843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687056"/>
        <c:axId val="1902687600"/>
      </c:lineChart>
      <c:catAx>
        <c:axId val="190268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87600"/>
        <c:crosses val="autoZero"/>
        <c:auto val="1"/>
        <c:lblAlgn val="ctr"/>
        <c:lblOffset val="100"/>
        <c:noMultiLvlLbl val="0"/>
      </c:catAx>
      <c:valAx>
        <c:axId val="19026876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870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701744"/>
        <c:axId val="1902707728"/>
      </c:lineChart>
      <c:catAx>
        <c:axId val="190270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707728"/>
        <c:crosses val="autoZero"/>
        <c:auto val="1"/>
        <c:lblAlgn val="ctr"/>
        <c:lblOffset val="100"/>
        <c:noMultiLvlLbl val="0"/>
      </c:catAx>
      <c:valAx>
        <c:axId val="1902707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7017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4095696"/>
        <c:axId val="1884101136"/>
      </c:lineChart>
      <c:catAx>
        <c:axId val="188409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4101136"/>
        <c:crosses val="autoZero"/>
        <c:auto val="1"/>
        <c:lblAlgn val="ctr"/>
        <c:lblOffset val="100"/>
        <c:noMultiLvlLbl val="0"/>
      </c:catAx>
      <c:valAx>
        <c:axId val="18841011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40956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694128"/>
        <c:axId val="1902694672"/>
      </c:lineChart>
      <c:catAx>
        <c:axId val="190269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94672"/>
        <c:crosses val="autoZero"/>
        <c:auto val="1"/>
        <c:lblAlgn val="ctr"/>
        <c:lblOffset val="100"/>
        <c:noMultiLvlLbl val="0"/>
      </c:catAx>
      <c:valAx>
        <c:axId val="19026946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941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/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1846549758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82942779634614"/>
          <c:y val="9.9557370143547624E-2"/>
          <c:w val="0.7765295092284884"/>
          <c:h val="0.80442543447501413"/>
        </c:manualLayout>
      </c:layout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Ref>
              <c:f>'приложение 2.3'!$C$271:$AA$271</c:f>
              <c:numCache>
                <c:formatCode>#\ ##0.0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numCache>
            </c:numRef>
          </c:cat>
          <c:val>
            <c:numRef>
              <c:f>'приложение 2.3'!$C$284:$AA$284</c:f>
              <c:numCache>
                <c:formatCode>_(* #\ ##0_);_(* \(#\ ##0\);_(* "-"_);_(@_)</c:formatCode>
                <c:ptCount val="25"/>
                <c:pt idx="0">
                  <c:v>269163.02750726952</c:v>
                </c:pt>
                <c:pt idx="1">
                  <c:v>288568.52565960382</c:v>
                </c:pt>
                <c:pt idx="2">
                  <c:v>277836.20922184782</c:v>
                </c:pt>
                <c:pt idx="3">
                  <c:v>261778.38523910302</c:v>
                </c:pt>
                <c:pt idx="4">
                  <c:v>253459.05988576642</c:v>
                </c:pt>
                <c:pt idx="5">
                  <c:v>245299.97663885934</c:v>
                </c:pt>
                <c:pt idx="6">
                  <c:v>237309.91630584485</c:v>
                </c:pt>
                <c:pt idx="7">
                  <c:v>188935.90382483578</c:v>
                </c:pt>
                <c:pt idx="8">
                  <c:v>180773.05508033317</c:v>
                </c:pt>
                <c:pt idx="9">
                  <c:v>174842.74219978042</c:v>
                </c:pt>
                <c:pt idx="10">
                  <c:v>169045.24901107702</c:v>
                </c:pt>
                <c:pt idx="11">
                  <c:v>163384.5592974952</c:v>
                </c:pt>
                <c:pt idx="12">
                  <c:v>157863.64932777095</c:v>
                </c:pt>
                <c:pt idx="13">
                  <c:v>152484.60504506246</c:v>
                </c:pt>
                <c:pt idx="14">
                  <c:v>147248.72769853365</c:v>
                </c:pt>
                <c:pt idx="15">
                  <c:v>142156.6289845717</c:v>
                </c:pt>
                <c:pt idx="16">
                  <c:v>137208.3166694362</c:v>
                </c:pt>
                <c:pt idx="17">
                  <c:v>132403.27157824696</c:v>
                </c:pt>
                <c:pt idx="18">
                  <c:v>119637.84984388124</c:v>
                </c:pt>
                <c:pt idx="19">
                  <c:v>115428.86530740635</c:v>
                </c:pt>
                <c:pt idx="20">
                  <c:v>111359.25429013338</c:v>
                </c:pt>
                <c:pt idx="21">
                  <c:v>107425.1090268882</c:v>
                </c:pt>
                <c:pt idx="22">
                  <c:v>103622.57023626179</c:v>
                </c:pt>
                <c:pt idx="23">
                  <c:v>99947.832748509885</c:v>
                </c:pt>
                <c:pt idx="24">
                  <c:v>96397.150351034346</c:v>
                </c:pt>
              </c:numCache>
            </c:numRef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Ref>
              <c:f>'приложение 2.3'!$C$271:$AA$271</c:f>
              <c:numCache>
                <c:formatCode>#\ ##0.0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numCache>
            </c:numRef>
          </c:cat>
          <c:val>
            <c:numRef>
              <c:f>'приложение 2.3'!$C$285:$AA$285</c:f>
              <c:numCache>
                <c:formatCode>_(* #\ ##0_);_(* \(#\ ##0\);_(* "-"_);_(@_)</c:formatCode>
                <c:ptCount val="25"/>
                <c:pt idx="0">
                  <c:v>-2910836.9724927302</c:v>
                </c:pt>
                <c:pt idx="1">
                  <c:v>-2622268.4468331262</c:v>
                </c:pt>
                <c:pt idx="2">
                  <c:v>-2344432.2376112784</c:v>
                </c:pt>
                <c:pt idx="3">
                  <c:v>-2082653.8523721753</c:v>
                </c:pt>
                <c:pt idx="4">
                  <c:v>-1829194.792486409</c:v>
                </c:pt>
                <c:pt idx="5">
                  <c:v>-1583894.8158475496</c:v>
                </c:pt>
                <c:pt idx="6">
                  <c:v>-1346584.8995417047</c:v>
                </c:pt>
                <c:pt idx="7">
                  <c:v>-1157648.9957168689</c:v>
                </c:pt>
                <c:pt idx="8">
                  <c:v>-976875.94063653576</c:v>
                </c:pt>
                <c:pt idx="9">
                  <c:v>-802033.19843675534</c:v>
                </c:pt>
                <c:pt idx="10">
                  <c:v>-632987.94942567835</c:v>
                </c:pt>
                <c:pt idx="11">
                  <c:v>-469603.39012818318</c:v>
                </c:pt>
                <c:pt idx="12">
                  <c:v>-311739.74080041226</c:v>
                </c:pt>
                <c:pt idx="13">
                  <c:v>-159255.13575534979</c:v>
                </c:pt>
                <c:pt idx="14">
                  <c:v>-12006.408056816144</c:v>
                </c:pt>
                <c:pt idx="15">
                  <c:v>130150.22092775555</c:v>
                </c:pt>
                <c:pt idx="16">
                  <c:v>267358.53759719175</c:v>
                </c:pt>
                <c:pt idx="17">
                  <c:v>399761.80917543871</c:v>
                </c:pt>
                <c:pt idx="18">
                  <c:v>519399.65901931992</c:v>
                </c:pt>
                <c:pt idx="19">
                  <c:v>634828.52432672633</c:v>
                </c:pt>
                <c:pt idx="20">
                  <c:v>746187.77861685969</c:v>
                </c:pt>
                <c:pt idx="21">
                  <c:v>853612.88764374785</c:v>
                </c:pt>
                <c:pt idx="22">
                  <c:v>957235.45788000966</c:v>
                </c:pt>
                <c:pt idx="23">
                  <c:v>1057183.2906285196</c:v>
                </c:pt>
                <c:pt idx="24">
                  <c:v>1153580.4409795539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696304"/>
        <c:axId val="1902695216"/>
      </c:lineChart>
      <c:catAx>
        <c:axId val="1902696304"/>
        <c:scaling>
          <c:orientation val="minMax"/>
        </c:scaling>
        <c:delete val="0"/>
        <c:axPos val="b"/>
        <c:numFmt formatCode="#\ ##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95216"/>
        <c:crosses val="autoZero"/>
        <c:auto val="1"/>
        <c:lblAlgn val="ctr"/>
        <c:lblOffset val="100"/>
        <c:noMultiLvlLbl val="0"/>
      </c:catAx>
      <c:valAx>
        <c:axId val="1902695216"/>
        <c:scaling>
          <c:orientation val="minMax"/>
        </c:scaling>
        <c:delete val="0"/>
        <c:axPos val="l"/>
        <c:majorGridlines/>
        <c:numFmt formatCode="_(* #\ ##0_);_(* \(#\ ##0\);_(* &quot;-&quot;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96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1578421578421578"/>
          <c:y val="0.89019948758994938"/>
          <c:w val="0.66433566433566438"/>
          <c:h val="7.8431672915414044E-2"/>
        </c:manualLayout>
      </c:layout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703376"/>
        <c:axId val="1902697936"/>
      </c:lineChart>
      <c:catAx>
        <c:axId val="190270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97936"/>
        <c:crosses val="autoZero"/>
        <c:auto val="1"/>
        <c:lblAlgn val="ctr"/>
        <c:lblOffset val="100"/>
        <c:noMultiLvlLbl val="0"/>
      </c:catAx>
      <c:valAx>
        <c:axId val="19026979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7033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704464"/>
        <c:axId val="1902707184"/>
      </c:lineChart>
      <c:catAx>
        <c:axId val="190270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707184"/>
        <c:crosses val="autoZero"/>
        <c:auto val="1"/>
        <c:lblAlgn val="ctr"/>
        <c:lblOffset val="100"/>
        <c:noMultiLvlLbl val="0"/>
      </c:catAx>
      <c:valAx>
        <c:axId val="1902707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7044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706096"/>
        <c:axId val="1902695760"/>
      </c:lineChart>
      <c:catAx>
        <c:axId val="190270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95760"/>
        <c:crosses val="autoZero"/>
        <c:auto val="1"/>
        <c:lblAlgn val="ctr"/>
        <c:lblOffset val="100"/>
        <c:noMultiLvlLbl val="0"/>
      </c:catAx>
      <c:valAx>
        <c:axId val="19026957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7060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696848"/>
        <c:axId val="1902708816"/>
      </c:lineChart>
      <c:catAx>
        <c:axId val="190269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708816"/>
        <c:crosses val="autoZero"/>
        <c:auto val="1"/>
        <c:lblAlgn val="ctr"/>
        <c:lblOffset val="100"/>
        <c:noMultiLvlLbl val="0"/>
      </c:catAx>
      <c:valAx>
        <c:axId val="19027088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968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693040"/>
        <c:axId val="1902700112"/>
      </c:lineChart>
      <c:catAx>
        <c:axId val="190269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700112"/>
        <c:crosses val="autoZero"/>
        <c:auto val="1"/>
        <c:lblAlgn val="ctr"/>
        <c:lblOffset val="100"/>
        <c:noMultiLvlLbl val="0"/>
      </c:catAx>
      <c:valAx>
        <c:axId val="19027001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930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712080"/>
        <c:axId val="1902710448"/>
      </c:lineChart>
      <c:catAx>
        <c:axId val="190271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710448"/>
        <c:crosses val="autoZero"/>
        <c:auto val="1"/>
        <c:lblAlgn val="ctr"/>
        <c:lblOffset val="100"/>
        <c:noMultiLvlLbl val="0"/>
      </c:catAx>
      <c:valAx>
        <c:axId val="19027104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7120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712624"/>
        <c:axId val="1902698480"/>
      </c:lineChart>
      <c:catAx>
        <c:axId val="190271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698480"/>
        <c:crosses val="autoZero"/>
        <c:auto val="1"/>
        <c:lblAlgn val="ctr"/>
        <c:lblOffset val="100"/>
        <c:noMultiLvlLbl val="0"/>
      </c:catAx>
      <c:valAx>
        <c:axId val="19026984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7126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714256"/>
        <c:axId val="1902715888"/>
      </c:lineChart>
      <c:catAx>
        <c:axId val="190271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715888"/>
        <c:crosses val="autoZero"/>
        <c:auto val="1"/>
        <c:lblAlgn val="ctr"/>
        <c:lblOffset val="100"/>
        <c:noMultiLvlLbl val="0"/>
      </c:catAx>
      <c:valAx>
        <c:axId val="19027158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7142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26048"/>
        <c:axId val="1628226592"/>
      </c:lineChart>
      <c:catAx>
        <c:axId val="162822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628226592"/>
        <c:crosses val="autoZero"/>
        <c:auto val="1"/>
        <c:lblAlgn val="ctr"/>
        <c:lblOffset val="100"/>
        <c:noMultiLvlLbl val="0"/>
      </c:catAx>
      <c:valAx>
        <c:axId val="16282265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6282260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accent3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4096240"/>
        <c:axId val="1884101680"/>
      </c:lineChart>
      <c:catAx>
        <c:axId val="188409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4101680"/>
        <c:crosses val="autoZero"/>
        <c:auto val="1"/>
        <c:lblAlgn val="ctr"/>
        <c:lblOffset val="100"/>
        <c:noMultiLvlLbl val="0"/>
      </c:catAx>
      <c:valAx>
        <c:axId val="18841016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40962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716432"/>
        <c:axId val="1902716976"/>
      </c:lineChart>
      <c:catAx>
        <c:axId val="190271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716976"/>
        <c:crosses val="autoZero"/>
        <c:auto val="1"/>
        <c:lblAlgn val="ctr"/>
        <c:lblOffset val="100"/>
        <c:noMultiLvlLbl val="0"/>
      </c:catAx>
      <c:valAx>
        <c:axId val="19027169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27164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6862672"/>
        <c:axId val="1906859952"/>
      </c:lineChart>
      <c:catAx>
        <c:axId val="190686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859952"/>
        <c:crosses val="autoZero"/>
        <c:auto val="1"/>
        <c:lblAlgn val="ctr"/>
        <c:lblOffset val="100"/>
        <c:noMultiLvlLbl val="0"/>
      </c:catAx>
      <c:valAx>
        <c:axId val="19068599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8626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6871920"/>
        <c:axId val="1906865936"/>
      </c:lineChart>
      <c:catAx>
        <c:axId val="190687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865936"/>
        <c:crosses val="autoZero"/>
        <c:auto val="1"/>
        <c:lblAlgn val="ctr"/>
        <c:lblOffset val="100"/>
        <c:noMultiLvlLbl val="0"/>
      </c:catAx>
      <c:valAx>
        <c:axId val="19068659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8719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6864848"/>
        <c:axId val="1906867568"/>
      </c:lineChart>
      <c:catAx>
        <c:axId val="190686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867568"/>
        <c:crosses val="autoZero"/>
        <c:auto val="1"/>
        <c:lblAlgn val="ctr"/>
        <c:lblOffset val="100"/>
        <c:noMultiLvlLbl val="0"/>
      </c:catAx>
      <c:valAx>
        <c:axId val="19068675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8648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6856144"/>
        <c:axId val="1906858864"/>
      </c:lineChart>
      <c:catAx>
        <c:axId val="190685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858864"/>
        <c:crosses val="autoZero"/>
        <c:auto val="1"/>
        <c:lblAlgn val="ctr"/>
        <c:lblOffset val="100"/>
        <c:noMultiLvlLbl val="0"/>
      </c:catAx>
      <c:valAx>
        <c:axId val="1906858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8561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6857232"/>
        <c:axId val="1906863216"/>
      </c:lineChart>
      <c:catAx>
        <c:axId val="190685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863216"/>
        <c:crosses val="autoZero"/>
        <c:auto val="1"/>
        <c:lblAlgn val="ctr"/>
        <c:lblOffset val="100"/>
        <c:noMultiLvlLbl val="0"/>
      </c:catAx>
      <c:valAx>
        <c:axId val="19068632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8572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6866480"/>
        <c:axId val="1906868656"/>
      </c:lineChart>
      <c:catAx>
        <c:axId val="190686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868656"/>
        <c:crosses val="autoZero"/>
        <c:auto val="1"/>
        <c:lblAlgn val="ctr"/>
        <c:lblOffset val="100"/>
        <c:noMultiLvlLbl val="0"/>
      </c:catAx>
      <c:valAx>
        <c:axId val="19068686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8664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6869744"/>
        <c:axId val="1906858320"/>
      </c:lineChart>
      <c:catAx>
        <c:axId val="190686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858320"/>
        <c:crosses val="autoZero"/>
        <c:auto val="1"/>
        <c:lblAlgn val="ctr"/>
        <c:lblOffset val="100"/>
        <c:noMultiLvlLbl val="0"/>
      </c:catAx>
      <c:valAx>
        <c:axId val="19068583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8697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6871376"/>
        <c:axId val="1906873008"/>
      </c:lineChart>
      <c:catAx>
        <c:axId val="190687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873008"/>
        <c:crosses val="autoZero"/>
        <c:auto val="1"/>
        <c:lblAlgn val="ctr"/>
        <c:lblOffset val="100"/>
        <c:noMultiLvlLbl val="0"/>
      </c:catAx>
      <c:valAx>
        <c:axId val="19068730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8713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6874096"/>
        <c:axId val="1906857776"/>
      </c:lineChart>
      <c:catAx>
        <c:axId val="190687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857776"/>
        <c:crosses val="autoZero"/>
        <c:auto val="1"/>
        <c:lblAlgn val="ctr"/>
        <c:lblOffset val="100"/>
        <c:noMultiLvlLbl val="0"/>
      </c:catAx>
      <c:valAx>
        <c:axId val="19068577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8740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4098960"/>
        <c:axId val="1884100048"/>
      </c:lineChart>
      <c:catAx>
        <c:axId val="188409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4100048"/>
        <c:crosses val="autoZero"/>
        <c:auto val="1"/>
        <c:lblAlgn val="ctr"/>
        <c:lblOffset val="100"/>
        <c:noMultiLvlLbl val="0"/>
      </c:catAx>
      <c:valAx>
        <c:axId val="18841000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40989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6876816"/>
        <c:axId val="1906880080"/>
      </c:lineChart>
      <c:catAx>
        <c:axId val="190687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880080"/>
        <c:crosses val="autoZero"/>
        <c:auto val="1"/>
        <c:lblAlgn val="ctr"/>
        <c:lblOffset val="100"/>
        <c:noMultiLvlLbl val="0"/>
      </c:catAx>
      <c:valAx>
        <c:axId val="19068800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8768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6876272"/>
        <c:axId val="1906875184"/>
      </c:lineChart>
      <c:catAx>
        <c:axId val="190687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875184"/>
        <c:crosses val="autoZero"/>
        <c:auto val="1"/>
        <c:lblAlgn val="ctr"/>
        <c:lblOffset val="100"/>
        <c:noMultiLvlLbl val="0"/>
      </c:catAx>
      <c:valAx>
        <c:axId val="1906875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8762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6878992"/>
        <c:axId val="1906887696"/>
      </c:lineChart>
      <c:catAx>
        <c:axId val="190687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887696"/>
        <c:crosses val="autoZero"/>
        <c:auto val="1"/>
        <c:lblAlgn val="ctr"/>
        <c:lblOffset val="100"/>
        <c:noMultiLvlLbl val="0"/>
      </c:catAx>
      <c:valAx>
        <c:axId val="19068876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8789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6884976"/>
        <c:axId val="1906888784"/>
      </c:lineChart>
      <c:catAx>
        <c:axId val="190688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888784"/>
        <c:crosses val="autoZero"/>
        <c:auto val="1"/>
        <c:lblAlgn val="ctr"/>
        <c:lblOffset val="100"/>
        <c:noMultiLvlLbl val="0"/>
      </c:catAx>
      <c:valAx>
        <c:axId val="19068887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8849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6886064"/>
        <c:axId val="1906881712"/>
      </c:lineChart>
      <c:catAx>
        <c:axId val="190688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881712"/>
        <c:crosses val="autoZero"/>
        <c:auto val="1"/>
        <c:lblAlgn val="ctr"/>
        <c:lblOffset val="100"/>
        <c:noMultiLvlLbl val="0"/>
      </c:catAx>
      <c:valAx>
        <c:axId val="19068817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8860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6890416"/>
        <c:axId val="1906888240"/>
      </c:lineChart>
      <c:catAx>
        <c:axId val="190689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888240"/>
        <c:crosses val="autoZero"/>
        <c:auto val="1"/>
        <c:lblAlgn val="ctr"/>
        <c:lblOffset val="100"/>
        <c:noMultiLvlLbl val="0"/>
      </c:catAx>
      <c:valAx>
        <c:axId val="1906888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8904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6889328"/>
        <c:axId val="1906885520"/>
      </c:lineChart>
      <c:catAx>
        <c:axId val="190688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885520"/>
        <c:crosses val="autoZero"/>
        <c:auto val="1"/>
        <c:lblAlgn val="ctr"/>
        <c:lblOffset val="100"/>
        <c:noMultiLvlLbl val="0"/>
      </c:catAx>
      <c:valAx>
        <c:axId val="19068855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8893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6890960"/>
        <c:axId val="1906894768"/>
      </c:lineChart>
      <c:catAx>
        <c:axId val="190689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894768"/>
        <c:crosses val="autoZero"/>
        <c:auto val="1"/>
        <c:lblAlgn val="ctr"/>
        <c:lblOffset val="100"/>
        <c:noMultiLvlLbl val="0"/>
      </c:catAx>
      <c:valAx>
        <c:axId val="19068947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8909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6901840"/>
        <c:axId val="1906892592"/>
      </c:lineChart>
      <c:catAx>
        <c:axId val="190690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892592"/>
        <c:crosses val="autoZero"/>
        <c:auto val="1"/>
        <c:lblAlgn val="ctr"/>
        <c:lblOffset val="100"/>
        <c:noMultiLvlLbl val="0"/>
      </c:catAx>
      <c:valAx>
        <c:axId val="19068925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9018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6898576"/>
        <c:axId val="1906902928"/>
      </c:lineChart>
      <c:catAx>
        <c:axId val="190689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902928"/>
        <c:crosses val="autoZero"/>
        <c:auto val="1"/>
        <c:lblAlgn val="ctr"/>
        <c:lblOffset val="100"/>
        <c:noMultiLvlLbl val="0"/>
      </c:catAx>
      <c:valAx>
        <c:axId val="19069029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8985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4832464"/>
        <c:axId val="1884835728"/>
      </c:lineChart>
      <c:catAx>
        <c:axId val="188483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4835728"/>
        <c:crosses val="autoZero"/>
        <c:auto val="1"/>
        <c:lblAlgn val="ctr"/>
        <c:lblOffset val="100"/>
        <c:noMultiLvlLbl val="0"/>
      </c:catAx>
      <c:valAx>
        <c:axId val="1884835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48324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6899664"/>
        <c:axId val="1906899120"/>
      </c:lineChart>
      <c:catAx>
        <c:axId val="190689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899120"/>
        <c:crosses val="autoZero"/>
        <c:auto val="1"/>
        <c:lblAlgn val="ctr"/>
        <c:lblOffset val="100"/>
        <c:noMultiLvlLbl val="0"/>
      </c:catAx>
      <c:valAx>
        <c:axId val="19068991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8996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6903472"/>
        <c:axId val="1906907280"/>
      </c:lineChart>
      <c:catAx>
        <c:axId val="190690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907280"/>
        <c:crosses val="autoZero"/>
        <c:auto val="1"/>
        <c:lblAlgn val="ctr"/>
        <c:lblOffset val="100"/>
        <c:noMultiLvlLbl val="0"/>
      </c:catAx>
      <c:valAx>
        <c:axId val="19069072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9034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6895856"/>
        <c:axId val="1906900752"/>
      </c:lineChart>
      <c:catAx>
        <c:axId val="190689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900752"/>
        <c:crosses val="autoZero"/>
        <c:auto val="1"/>
        <c:lblAlgn val="ctr"/>
        <c:lblOffset val="100"/>
        <c:noMultiLvlLbl val="0"/>
      </c:catAx>
      <c:valAx>
        <c:axId val="19069007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8958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6896400"/>
        <c:axId val="1906905104"/>
      </c:lineChart>
      <c:catAx>
        <c:axId val="190689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905104"/>
        <c:crosses val="autoZero"/>
        <c:auto val="1"/>
        <c:lblAlgn val="ctr"/>
        <c:lblOffset val="100"/>
        <c:noMultiLvlLbl val="0"/>
      </c:catAx>
      <c:valAx>
        <c:axId val="19069051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8964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6906192"/>
        <c:axId val="1906906736"/>
      </c:lineChart>
      <c:catAx>
        <c:axId val="190690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906736"/>
        <c:crosses val="autoZero"/>
        <c:auto val="1"/>
        <c:lblAlgn val="ctr"/>
        <c:lblOffset val="100"/>
        <c:noMultiLvlLbl val="0"/>
      </c:catAx>
      <c:valAx>
        <c:axId val="1906906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9061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6914896"/>
        <c:axId val="1906912176"/>
      </c:lineChart>
      <c:catAx>
        <c:axId val="190691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912176"/>
        <c:crosses val="autoZero"/>
        <c:auto val="1"/>
        <c:lblAlgn val="ctr"/>
        <c:lblOffset val="100"/>
        <c:noMultiLvlLbl val="0"/>
      </c:catAx>
      <c:valAx>
        <c:axId val="19069121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9148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6909456"/>
        <c:axId val="1906908912"/>
      </c:lineChart>
      <c:catAx>
        <c:axId val="190690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908912"/>
        <c:crosses val="autoZero"/>
        <c:auto val="1"/>
        <c:lblAlgn val="ctr"/>
        <c:lblOffset val="100"/>
        <c:noMultiLvlLbl val="0"/>
      </c:catAx>
      <c:valAx>
        <c:axId val="1906908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9094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6910000"/>
        <c:axId val="1906910544"/>
      </c:lineChart>
      <c:catAx>
        <c:axId val="190691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910544"/>
        <c:crosses val="autoZero"/>
        <c:auto val="1"/>
        <c:lblAlgn val="ctr"/>
        <c:lblOffset val="100"/>
        <c:noMultiLvlLbl val="0"/>
      </c:catAx>
      <c:valAx>
        <c:axId val="19069105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9100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6917616"/>
        <c:axId val="1906911632"/>
      </c:lineChart>
      <c:catAx>
        <c:axId val="190691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911632"/>
        <c:crosses val="autoZero"/>
        <c:auto val="1"/>
        <c:lblAlgn val="ctr"/>
        <c:lblOffset val="100"/>
        <c:noMultiLvlLbl val="0"/>
      </c:catAx>
      <c:valAx>
        <c:axId val="19069116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9176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6915984"/>
        <c:axId val="1906913264"/>
      </c:lineChart>
      <c:catAx>
        <c:axId val="190691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913264"/>
        <c:crosses val="autoZero"/>
        <c:auto val="1"/>
        <c:lblAlgn val="ctr"/>
        <c:lblOffset val="100"/>
        <c:noMultiLvlLbl val="0"/>
      </c:catAx>
      <c:valAx>
        <c:axId val="19069132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9159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4844976"/>
        <c:axId val="1884844432"/>
      </c:lineChart>
      <c:catAx>
        <c:axId val="188484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4844432"/>
        <c:crosses val="autoZero"/>
        <c:auto val="1"/>
        <c:lblAlgn val="ctr"/>
        <c:lblOffset val="100"/>
        <c:noMultiLvlLbl val="0"/>
      </c:catAx>
      <c:valAx>
        <c:axId val="18848444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48449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6915440"/>
        <c:axId val="1906918160"/>
      </c:lineChart>
      <c:catAx>
        <c:axId val="190691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918160"/>
        <c:crosses val="autoZero"/>
        <c:auto val="1"/>
        <c:lblAlgn val="ctr"/>
        <c:lblOffset val="100"/>
        <c:noMultiLvlLbl val="0"/>
      </c:catAx>
      <c:valAx>
        <c:axId val="19069181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69154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092768"/>
        <c:axId val="1909101472"/>
      </c:lineChart>
      <c:catAx>
        <c:axId val="190909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101472"/>
        <c:crosses val="autoZero"/>
        <c:auto val="1"/>
        <c:lblAlgn val="ctr"/>
        <c:lblOffset val="100"/>
        <c:noMultiLvlLbl val="0"/>
      </c:catAx>
      <c:valAx>
        <c:axId val="19091014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927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096576"/>
        <c:axId val="1909097120"/>
      </c:lineChart>
      <c:catAx>
        <c:axId val="190909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97120"/>
        <c:crosses val="autoZero"/>
        <c:auto val="1"/>
        <c:lblAlgn val="ctr"/>
        <c:lblOffset val="100"/>
        <c:noMultiLvlLbl val="0"/>
      </c:catAx>
      <c:valAx>
        <c:axId val="19090971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965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097664"/>
        <c:axId val="1909099296"/>
      </c:lineChart>
      <c:catAx>
        <c:axId val="190909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99296"/>
        <c:crosses val="autoZero"/>
        <c:auto val="1"/>
        <c:lblAlgn val="ctr"/>
        <c:lblOffset val="100"/>
        <c:noMultiLvlLbl val="0"/>
      </c:catAx>
      <c:valAx>
        <c:axId val="19090992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976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090048"/>
        <c:axId val="1909090592"/>
      </c:lineChart>
      <c:catAx>
        <c:axId val="190909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90592"/>
        <c:crosses val="autoZero"/>
        <c:auto val="1"/>
        <c:lblAlgn val="ctr"/>
        <c:lblOffset val="100"/>
        <c:noMultiLvlLbl val="0"/>
      </c:catAx>
      <c:valAx>
        <c:axId val="19090905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900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/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1846549758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82942779634614"/>
          <c:y val="9.9557370143547624E-2"/>
          <c:w val="0.7765295092284884"/>
          <c:h val="0.80442543447501413"/>
        </c:manualLayout>
      </c:layout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Ref>
              <c:f>'приложение 2.3'!$C$412:$AA$412</c:f>
              <c:numCache>
                <c:formatCode>#\ ##0.0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numCache>
            </c:numRef>
          </c:cat>
          <c:val>
            <c:numRef>
              <c:f>'приложение 2.3'!$C$425:$AA$425</c:f>
              <c:numCache>
                <c:formatCode>_(* #\ ##0_);_(* \(#\ ##0\);_(* "-"_);_(@_)</c:formatCode>
                <c:ptCount val="25"/>
                <c:pt idx="0">
                  <c:v>62377.916229457769</c:v>
                </c:pt>
                <c:pt idx="1">
                  <c:v>67557.16614906468</c:v>
                </c:pt>
                <c:pt idx="2">
                  <c:v>65429.74684628674</c:v>
                </c:pt>
                <c:pt idx="3">
                  <c:v>63340.469041537297</c:v>
                </c:pt>
                <c:pt idx="4">
                  <c:v>61291.985967027591</c:v>
                </c:pt>
                <c:pt idx="5">
                  <c:v>59286.465982072899</c:v>
                </c:pt>
                <c:pt idx="6">
                  <c:v>57325.646054348545</c:v>
                </c:pt>
                <c:pt idx="7">
                  <c:v>45717.286624033652</c:v>
                </c:pt>
                <c:pt idx="8">
                  <c:v>43722.805778427661</c:v>
                </c:pt>
                <c:pt idx="9">
                  <c:v>42265.266439292463</c:v>
                </c:pt>
                <c:pt idx="10">
                  <c:v>40842.587769036938</c:v>
                </c:pt>
                <c:pt idx="11">
                  <c:v>39455.480281732962</c:v>
                </c:pt>
                <c:pt idx="12">
                  <c:v>38104.432422429541</c:v>
                </c:pt>
                <c:pt idx="13">
                  <c:v>36789.737123901767</c:v>
                </c:pt>
                <c:pt idx="14">
                  <c:v>35511.51571367406</c:v>
                </c:pt>
                <c:pt idx="15">
                  <c:v>31803.1190969452</c:v>
                </c:pt>
                <c:pt idx="16">
                  <c:v>30692.867227736337</c:v>
                </c:pt>
                <c:pt idx="17">
                  <c:v>29618.679286617571</c:v>
                </c:pt>
                <c:pt idx="18">
                  <c:v>28579.604576194397</c:v>
                </c:pt>
                <c:pt idx="19">
                  <c:v>27574.698027861541</c:v>
                </c:pt>
                <c:pt idx="20">
                  <c:v>26603.022276379808</c:v>
                </c:pt>
                <c:pt idx="21">
                  <c:v>25663.649481044464</c:v>
                </c:pt>
                <c:pt idx="22">
                  <c:v>24755.662916500816</c:v>
                </c:pt>
                <c:pt idx="23">
                  <c:v>23878.158354349729</c:v>
                </c:pt>
                <c:pt idx="24">
                  <c:v>23030.245254926067</c:v>
                </c:pt>
              </c:numCache>
            </c:numRef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Ref>
              <c:f>'приложение 2.3'!$C$412:$AA$412</c:f>
              <c:numCache>
                <c:formatCode>#\ ##0.0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numCache>
            </c:numRef>
          </c:cat>
          <c:val>
            <c:numRef>
              <c:f>'приложение 2.3'!$C$426:$AA$426</c:f>
              <c:numCache>
                <c:formatCode>_(* #\ ##0_);_(* \(#\ ##0\);_(* "-"_);_(@_)</c:formatCode>
                <c:ptCount val="25"/>
                <c:pt idx="0">
                  <c:v>-697622.08377054241</c:v>
                </c:pt>
                <c:pt idx="1">
                  <c:v>-630064.91762147774</c:v>
                </c:pt>
                <c:pt idx="2">
                  <c:v>-564635.17077519104</c:v>
                </c:pt>
                <c:pt idx="3">
                  <c:v>-501294.70173365372</c:v>
                </c:pt>
                <c:pt idx="4">
                  <c:v>-440002.71576662612</c:v>
                </c:pt>
                <c:pt idx="5">
                  <c:v>-380716.24978455319</c:v>
                </c:pt>
                <c:pt idx="6">
                  <c:v>-323390.60373020463</c:v>
                </c:pt>
                <c:pt idx="7">
                  <c:v>-277673.31710617099</c:v>
                </c:pt>
                <c:pt idx="8">
                  <c:v>-233950.51132774333</c:v>
                </c:pt>
                <c:pt idx="9">
                  <c:v>-191685.24488845086</c:v>
                </c:pt>
                <c:pt idx="10">
                  <c:v>-150842.65711941393</c:v>
                </c:pt>
                <c:pt idx="11">
                  <c:v>-111387.17683768096</c:v>
                </c:pt>
                <c:pt idx="12">
                  <c:v>-73282.744415251422</c:v>
                </c:pt>
                <c:pt idx="13">
                  <c:v>-36493.007291349655</c:v>
                </c:pt>
                <c:pt idx="14">
                  <c:v>-981.49157767559518</c:v>
                </c:pt>
                <c:pt idx="15">
                  <c:v>30821.627519269605</c:v>
                </c:pt>
                <c:pt idx="16">
                  <c:v>61514.494747005941</c:v>
                </c:pt>
                <c:pt idx="17">
                  <c:v>91133.174033623509</c:v>
                </c:pt>
                <c:pt idx="18">
                  <c:v>119712.77860981791</c:v>
                </c:pt>
                <c:pt idx="19">
                  <c:v>147287.47663767944</c:v>
                </c:pt>
                <c:pt idx="20">
                  <c:v>173890.49891405925</c:v>
                </c:pt>
                <c:pt idx="21">
                  <c:v>199554.14839510372</c:v>
                </c:pt>
                <c:pt idx="22">
                  <c:v>224309.81131160454</c:v>
                </c:pt>
                <c:pt idx="23">
                  <c:v>248187.96966595427</c:v>
                </c:pt>
                <c:pt idx="24">
                  <c:v>271218.21492088033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103648"/>
        <c:axId val="1909091136"/>
      </c:lineChart>
      <c:catAx>
        <c:axId val="1909103648"/>
        <c:scaling>
          <c:orientation val="minMax"/>
        </c:scaling>
        <c:delete val="0"/>
        <c:axPos val="b"/>
        <c:numFmt formatCode="#\ ##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91136"/>
        <c:crosses val="autoZero"/>
        <c:auto val="1"/>
        <c:lblAlgn val="ctr"/>
        <c:lblOffset val="100"/>
        <c:noMultiLvlLbl val="0"/>
      </c:catAx>
      <c:valAx>
        <c:axId val="1909091136"/>
        <c:scaling>
          <c:orientation val="minMax"/>
        </c:scaling>
        <c:delete val="0"/>
        <c:axPos val="l"/>
        <c:majorGridlines/>
        <c:numFmt formatCode="_(* #\ ##0_);_(* \(#\ ##0\);_(* &quot;-&quot;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103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1578421578421578"/>
          <c:y val="0.89019948758994938"/>
          <c:w val="0.66433566433566438"/>
          <c:h val="7.8431672915414044E-2"/>
        </c:manualLayout>
      </c:layout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105280"/>
        <c:axId val="1909102016"/>
      </c:lineChart>
      <c:catAx>
        <c:axId val="190910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102016"/>
        <c:crosses val="autoZero"/>
        <c:auto val="1"/>
        <c:lblAlgn val="ctr"/>
        <c:lblOffset val="100"/>
        <c:noMultiLvlLbl val="0"/>
      </c:catAx>
      <c:valAx>
        <c:axId val="19091020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1052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088960"/>
        <c:axId val="1909102560"/>
      </c:lineChart>
      <c:catAx>
        <c:axId val="190908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102560"/>
        <c:crosses val="autoZero"/>
        <c:auto val="1"/>
        <c:lblAlgn val="ctr"/>
        <c:lblOffset val="100"/>
        <c:noMultiLvlLbl val="0"/>
      </c:catAx>
      <c:valAx>
        <c:axId val="19091025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889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105824"/>
        <c:axId val="1909106368"/>
      </c:lineChart>
      <c:catAx>
        <c:axId val="190910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106368"/>
        <c:crosses val="autoZero"/>
        <c:auto val="1"/>
        <c:lblAlgn val="ctr"/>
        <c:lblOffset val="100"/>
        <c:noMultiLvlLbl val="0"/>
      </c:catAx>
      <c:valAx>
        <c:axId val="19091063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1058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107456"/>
        <c:axId val="1909095488"/>
      </c:lineChart>
      <c:catAx>
        <c:axId val="190910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95488"/>
        <c:crosses val="autoZero"/>
        <c:auto val="1"/>
        <c:lblAlgn val="ctr"/>
        <c:lblOffset val="100"/>
        <c:noMultiLvlLbl val="0"/>
      </c:catAx>
      <c:valAx>
        <c:axId val="19090954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1074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4835184"/>
        <c:axId val="1884843888"/>
      </c:lineChart>
      <c:catAx>
        <c:axId val="188483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4843888"/>
        <c:crosses val="autoZero"/>
        <c:auto val="1"/>
        <c:lblAlgn val="ctr"/>
        <c:lblOffset val="100"/>
        <c:noMultiLvlLbl val="0"/>
      </c:catAx>
      <c:valAx>
        <c:axId val="18848438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48351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108544"/>
        <c:axId val="1909092224"/>
      </c:lineChart>
      <c:catAx>
        <c:axId val="190910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92224"/>
        <c:crosses val="autoZero"/>
        <c:auto val="1"/>
        <c:lblAlgn val="ctr"/>
        <c:lblOffset val="100"/>
        <c:noMultiLvlLbl val="0"/>
      </c:catAx>
      <c:valAx>
        <c:axId val="19090922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1085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116704"/>
        <c:axId val="1909116160"/>
      </c:lineChart>
      <c:catAx>
        <c:axId val="190911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116160"/>
        <c:crosses val="autoZero"/>
        <c:auto val="1"/>
        <c:lblAlgn val="ctr"/>
        <c:lblOffset val="100"/>
        <c:noMultiLvlLbl val="0"/>
      </c:catAx>
      <c:valAx>
        <c:axId val="19091161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1167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111808"/>
        <c:axId val="1909119424"/>
      </c:lineChart>
      <c:catAx>
        <c:axId val="190911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119424"/>
        <c:crosses val="autoZero"/>
        <c:auto val="1"/>
        <c:lblAlgn val="ctr"/>
        <c:lblOffset val="100"/>
        <c:noMultiLvlLbl val="0"/>
      </c:catAx>
      <c:valAx>
        <c:axId val="19091194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1118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112352"/>
        <c:axId val="1909117248"/>
      </c:lineChart>
      <c:catAx>
        <c:axId val="190911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117248"/>
        <c:crosses val="autoZero"/>
        <c:auto val="1"/>
        <c:lblAlgn val="ctr"/>
        <c:lblOffset val="100"/>
        <c:noMultiLvlLbl val="0"/>
      </c:catAx>
      <c:valAx>
        <c:axId val="19091172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1123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114528"/>
        <c:axId val="1909121056"/>
      </c:lineChart>
      <c:catAx>
        <c:axId val="1909114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121056"/>
        <c:crosses val="autoZero"/>
        <c:auto val="1"/>
        <c:lblAlgn val="ctr"/>
        <c:lblOffset val="100"/>
        <c:noMultiLvlLbl val="0"/>
      </c:catAx>
      <c:valAx>
        <c:axId val="19091210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1145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115072"/>
        <c:axId val="1909117792"/>
      </c:lineChart>
      <c:catAx>
        <c:axId val="1909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117792"/>
        <c:crosses val="autoZero"/>
        <c:auto val="1"/>
        <c:lblAlgn val="ctr"/>
        <c:lblOffset val="100"/>
        <c:noMultiLvlLbl val="0"/>
      </c:catAx>
      <c:valAx>
        <c:axId val="19091177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1150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120512"/>
        <c:axId val="1909118880"/>
      </c:lineChart>
      <c:catAx>
        <c:axId val="1909120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118880"/>
        <c:crosses val="autoZero"/>
        <c:auto val="1"/>
        <c:lblAlgn val="ctr"/>
        <c:lblOffset val="100"/>
        <c:noMultiLvlLbl val="0"/>
      </c:catAx>
      <c:valAx>
        <c:axId val="19091188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1205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137376"/>
        <c:axId val="1909139008"/>
      </c:lineChart>
      <c:catAx>
        <c:axId val="190913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139008"/>
        <c:crosses val="autoZero"/>
        <c:auto val="1"/>
        <c:lblAlgn val="ctr"/>
        <c:lblOffset val="100"/>
        <c:noMultiLvlLbl val="0"/>
      </c:catAx>
      <c:valAx>
        <c:axId val="19091390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1373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125952"/>
        <c:axId val="1909125408"/>
      </c:lineChart>
      <c:catAx>
        <c:axId val="190912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125408"/>
        <c:crosses val="autoZero"/>
        <c:auto val="1"/>
        <c:lblAlgn val="ctr"/>
        <c:lblOffset val="100"/>
        <c:noMultiLvlLbl val="0"/>
      </c:catAx>
      <c:valAx>
        <c:axId val="19091254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1259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127584"/>
        <c:axId val="1909134656"/>
      </c:lineChart>
      <c:catAx>
        <c:axId val="190912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134656"/>
        <c:crosses val="autoZero"/>
        <c:auto val="1"/>
        <c:lblAlgn val="ctr"/>
        <c:lblOffset val="100"/>
        <c:noMultiLvlLbl val="0"/>
      </c:catAx>
      <c:valAx>
        <c:axId val="19091346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1275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4833552"/>
        <c:axId val="1884834096"/>
      </c:lineChart>
      <c:catAx>
        <c:axId val="188483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4834096"/>
        <c:crosses val="autoZero"/>
        <c:auto val="1"/>
        <c:lblAlgn val="ctr"/>
        <c:lblOffset val="100"/>
        <c:noMultiLvlLbl val="0"/>
      </c:catAx>
      <c:valAx>
        <c:axId val="18848340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48335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130304"/>
        <c:axId val="1909128128"/>
      </c:lineChart>
      <c:catAx>
        <c:axId val="190913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128128"/>
        <c:crosses val="autoZero"/>
        <c:auto val="1"/>
        <c:lblAlgn val="ctr"/>
        <c:lblOffset val="100"/>
        <c:noMultiLvlLbl val="0"/>
      </c:catAx>
      <c:valAx>
        <c:axId val="19091281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1303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127040"/>
        <c:axId val="1909129216"/>
      </c:lineChart>
      <c:catAx>
        <c:axId val="190912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129216"/>
        <c:crosses val="autoZero"/>
        <c:auto val="1"/>
        <c:lblAlgn val="ctr"/>
        <c:lblOffset val="100"/>
        <c:noMultiLvlLbl val="0"/>
      </c:catAx>
      <c:valAx>
        <c:axId val="19091292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1270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131936"/>
        <c:axId val="1909132480"/>
      </c:lineChart>
      <c:catAx>
        <c:axId val="190913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132480"/>
        <c:crosses val="autoZero"/>
        <c:auto val="1"/>
        <c:lblAlgn val="ctr"/>
        <c:lblOffset val="100"/>
        <c:noMultiLvlLbl val="0"/>
      </c:catAx>
      <c:valAx>
        <c:axId val="19091324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1319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123776"/>
        <c:axId val="1909133024"/>
      </c:lineChart>
      <c:catAx>
        <c:axId val="190912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133024"/>
        <c:crosses val="autoZero"/>
        <c:auto val="1"/>
        <c:lblAlgn val="ctr"/>
        <c:lblOffset val="100"/>
        <c:noMultiLvlLbl val="0"/>
      </c:catAx>
      <c:valAx>
        <c:axId val="19091330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1237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133568"/>
        <c:axId val="1909135744"/>
      </c:lineChart>
      <c:catAx>
        <c:axId val="190913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135744"/>
        <c:crosses val="autoZero"/>
        <c:auto val="1"/>
        <c:lblAlgn val="ctr"/>
        <c:lblOffset val="100"/>
        <c:noMultiLvlLbl val="0"/>
      </c:catAx>
      <c:valAx>
        <c:axId val="19091357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1335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140640"/>
        <c:axId val="1909124864"/>
      </c:lineChart>
      <c:catAx>
        <c:axId val="190914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124864"/>
        <c:crosses val="autoZero"/>
        <c:auto val="1"/>
        <c:lblAlgn val="ctr"/>
        <c:lblOffset val="100"/>
        <c:noMultiLvlLbl val="0"/>
      </c:catAx>
      <c:valAx>
        <c:axId val="1909124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1406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142816"/>
        <c:axId val="1909143360"/>
      </c:lineChart>
      <c:catAx>
        <c:axId val="190914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143360"/>
        <c:crosses val="autoZero"/>
        <c:auto val="1"/>
        <c:lblAlgn val="ctr"/>
        <c:lblOffset val="100"/>
        <c:noMultiLvlLbl val="0"/>
      </c:catAx>
      <c:valAx>
        <c:axId val="19091433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1428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144992"/>
        <c:axId val="1909148256"/>
      </c:lineChart>
      <c:catAx>
        <c:axId val="190914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148256"/>
        <c:crosses val="autoZero"/>
        <c:auto val="1"/>
        <c:lblAlgn val="ctr"/>
        <c:lblOffset val="100"/>
        <c:noMultiLvlLbl val="0"/>
      </c:catAx>
      <c:valAx>
        <c:axId val="19091482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1449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146624"/>
        <c:axId val="1909147168"/>
      </c:lineChart>
      <c:catAx>
        <c:axId val="190914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147168"/>
        <c:crosses val="autoZero"/>
        <c:auto val="1"/>
        <c:lblAlgn val="ctr"/>
        <c:lblOffset val="100"/>
        <c:noMultiLvlLbl val="0"/>
      </c:catAx>
      <c:valAx>
        <c:axId val="19091471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1466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025312"/>
        <c:axId val="1909023136"/>
      </c:lineChart>
      <c:catAx>
        <c:axId val="190902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23136"/>
        <c:crosses val="autoZero"/>
        <c:auto val="1"/>
        <c:lblAlgn val="ctr"/>
        <c:lblOffset val="100"/>
        <c:noMultiLvlLbl val="0"/>
      </c:catAx>
      <c:valAx>
        <c:axId val="19090231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253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4831920"/>
        <c:axId val="1884840624"/>
      </c:lineChart>
      <c:catAx>
        <c:axId val="188483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4840624"/>
        <c:crosses val="autoZero"/>
        <c:auto val="1"/>
        <c:lblAlgn val="ctr"/>
        <c:lblOffset val="100"/>
        <c:noMultiLvlLbl val="0"/>
      </c:catAx>
      <c:valAx>
        <c:axId val="18848406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48319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032384"/>
        <c:axId val="1909021504"/>
      </c:lineChart>
      <c:catAx>
        <c:axId val="190903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21504"/>
        <c:crosses val="autoZero"/>
        <c:auto val="1"/>
        <c:lblAlgn val="ctr"/>
        <c:lblOffset val="100"/>
        <c:noMultiLvlLbl val="0"/>
      </c:catAx>
      <c:valAx>
        <c:axId val="19090215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323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019328"/>
        <c:axId val="1909019872"/>
      </c:lineChart>
      <c:catAx>
        <c:axId val="190901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19872"/>
        <c:crosses val="autoZero"/>
        <c:auto val="1"/>
        <c:lblAlgn val="ctr"/>
        <c:lblOffset val="100"/>
        <c:noMultiLvlLbl val="0"/>
      </c:catAx>
      <c:valAx>
        <c:axId val="19090198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193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022592"/>
        <c:axId val="1909032928"/>
      </c:lineChart>
      <c:catAx>
        <c:axId val="190902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32928"/>
        <c:crosses val="autoZero"/>
        <c:auto val="1"/>
        <c:lblAlgn val="ctr"/>
        <c:lblOffset val="100"/>
        <c:noMultiLvlLbl val="0"/>
      </c:catAx>
      <c:valAx>
        <c:axId val="19090329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225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029664"/>
        <c:axId val="1909020416"/>
      </c:lineChart>
      <c:catAx>
        <c:axId val="190902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20416"/>
        <c:crosses val="autoZero"/>
        <c:auto val="1"/>
        <c:lblAlgn val="ctr"/>
        <c:lblOffset val="100"/>
        <c:noMultiLvlLbl val="0"/>
      </c:catAx>
      <c:valAx>
        <c:axId val="19090204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296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024224"/>
        <c:axId val="1909025856"/>
      </c:lineChart>
      <c:catAx>
        <c:axId val="190902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25856"/>
        <c:crosses val="autoZero"/>
        <c:auto val="1"/>
        <c:lblAlgn val="ctr"/>
        <c:lblOffset val="100"/>
        <c:noMultiLvlLbl val="0"/>
      </c:catAx>
      <c:valAx>
        <c:axId val="19090258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242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026944"/>
        <c:axId val="1909034560"/>
      </c:lineChart>
      <c:catAx>
        <c:axId val="190902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34560"/>
        <c:crosses val="autoZero"/>
        <c:auto val="1"/>
        <c:lblAlgn val="ctr"/>
        <c:lblOffset val="100"/>
        <c:noMultiLvlLbl val="0"/>
      </c:catAx>
      <c:valAx>
        <c:axId val="19090345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269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036192"/>
        <c:axId val="1909028576"/>
      </c:lineChart>
      <c:catAx>
        <c:axId val="190903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28576"/>
        <c:crosses val="autoZero"/>
        <c:auto val="1"/>
        <c:lblAlgn val="ctr"/>
        <c:lblOffset val="100"/>
        <c:noMultiLvlLbl val="0"/>
      </c:catAx>
      <c:valAx>
        <c:axId val="19090285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361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036736"/>
        <c:axId val="1909037280"/>
      </c:lineChart>
      <c:catAx>
        <c:axId val="190903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37280"/>
        <c:crosses val="autoZero"/>
        <c:auto val="1"/>
        <c:lblAlgn val="ctr"/>
        <c:lblOffset val="100"/>
        <c:noMultiLvlLbl val="0"/>
      </c:catAx>
      <c:valAx>
        <c:axId val="19090372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367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037824"/>
        <c:axId val="1909041088"/>
      </c:lineChart>
      <c:catAx>
        <c:axId val="190903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41088"/>
        <c:crosses val="autoZero"/>
        <c:auto val="1"/>
        <c:lblAlgn val="ctr"/>
        <c:lblOffset val="100"/>
        <c:noMultiLvlLbl val="0"/>
      </c:catAx>
      <c:valAx>
        <c:axId val="19090410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378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038912"/>
        <c:axId val="1909052512"/>
      </c:lineChart>
      <c:catAx>
        <c:axId val="190903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52512"/>
        <c:crosses val="autoZero"/>
        <c:auto val="1"/>
        <c:lblAlgn val="ctr"/>
        <c:lblOffset val="100"/>
        <c:noMultiLvlLbl val="0"/>
      </c:catAx>
      <c:valAx>
        <c:axId val="19090525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389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4841168"/>
        <c:axId val="1884841712"/>
      </c:lineChart>
      <c:catAx>
        <c:axId val="188484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4841712"/>
        <c:crosses val="autoZero"/>
        <c:auto val="1"/>
        <c:lblAlgn val="ctr"/>
        <c:lblOffset val="100"/>
        <c:noMultiLvlLbl val="0"/>
      </c:catAx>
      <c:valAx>
        <c:axId val="18848417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48411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040544"/>
        <c:axId val="1909047616"/>
      </c:lineChart>
      <c:catAx>
        <c:axId val="190904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47616"/>
        <c:crosses val="autoZero"/>
        <c:auto val="1"/>
        <c:lblAlgn val="ctr"/>
        <c:lblOffset val="100"/>
        <c:noMultiLvlLbl val="0"/>
      </c:catAx>
      <c:valAx>
        <c:axId val="19090476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405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051424"/>
        <c:axId val="1909048160"/>
      </c:lineChart>
      <c:catAx>
        <c:axId val="190905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48160"/>
        <c:crosses val="autoZero"/>
        <c:auto val="1"/>
        <c:lblAlgn val="ctr"/>
        <c:lblOffset val="100"/>
        <c:noMultiLvlLbl val="0"/>
      </c:catAx>
      <c:valAx>
        <c:axId val="19090481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514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042176"/>
        <c:axId val="1909045440"/>
      </c:lineChart>
      <c:catAx>
        <c:axId val="190904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45440"/>
        <c:crosses val="autoZero"/>
        <c:auto val="1"/>
        <c:lblAlgn val="ctr"/>
        <c:lblOffset val="100"/>
        <c:noMultiLvlLbl val="0"/>
      </c:catAx>
      <c:valAx>
        <c:axId val="19090454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421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045984"/>
        <c:axId val="1909043264"/>
      </c:lineChart>
      <c:catAx>
        <c:axId val="190904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43264"/>
        <c:crosses val="autoZero"/>
        <c:auto val="1"/>
        <c:lblAlgn val="ctr"/>
        <c:lblOffset val="100"/>
        <c:noMultiLvlLbl val="0"/>
      </c:catAx>
      <c:valAx>
        <c:axId val="19090432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459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046528"/>
        <c:axId val="1909048704"/>
      </c:lineChart>
      <c:catAx>
        <c:axId val="190904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48704"/>
        <c:crosses val="autoZero"/>
        <c:auto val="1"/>
        <c:lblAlgn val="ctr"/>
        <c:lblOffset val="100"/>
        <c:noMultiLvlLbl val="0"/>
      </c:catAx>
      <c:valAx>
        <c:axId val="1909048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465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055776"/>
        <c:axId val="1909063936"/>
      </c:lineChart>
      <c:catAx>
        <c:axId val="190905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63936"/>
        <c:crosses val="autoZero"/>
        <c:auto val="1"/>
        <c:lblAlgn val="ctr"/>
        <c:lblOffset val="100"/>
        <c:noMultiLvlLbl val="0"/>
      </c:catAx>
      <c:valAx>
        <c:axId val="19090639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557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064480"/>
        <c:axId val="1909057408"/>
      </c:lineChart>
      <c:catAx>
        <c:axId val="190906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57408"/>
        <c:crosses val="autoZero"/>
        <c:auto val="1"/>
        <c:lblAlgn val="ctr"/>
        <c:lblOffset val="100"/>
        <c:noMultiLvlLbl val="0"/>
      </c:catAx>
      <c:valAx>
        <c:axId val="19090574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644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054144"/>
        <c:axId val="1909060128"/>
      </c:lineChart>
      <c:catAx>
        <c:axId val="190905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60128"/>
        <c:crosses val="autoZero"/>
        <c:auto val="1"/>
        <c:lblAlgn val="ctr"/>
        <c:lblOffset val="100"/>
        <c:noMultiLvlLbl val="0"/>
      </c:catAx>
      <c:valAx>
        <c:axId val="19090601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541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063392"/>
        <c:axId val="1909059584"/>
      </c:lineChart>
      <c:catAx>
        <c:axId val="190906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59584"/>
        <c:crosses val="autoZero"/>
        <c:auto val="1"/>
        <c:lblAlgn val="ctr"/>
        <c:lblOffset val="100"/>
        <c:noMultiLvlLbl val="0"/>
      </c:catAx>
      <c:valAx>
        <c:axId val="1909059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633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/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1846549758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82942779634614"/>
          <c:y val="9.9557370143547624E-2"/>
          <c:w val="0.7765295092284884"/>
          <c:h val="0.80442543447501413"/>
        </c:manualLayout>
      </c:layout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Ref>
              <c:f>'приложение 2.3'!$C$64:$AA$64</c:f>
              <c:numCache>
                <c:formatCode>#\ ##0.0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numCache>
            </c:numRef>
          </c:cat>
          <c:val>
            <c:numRef>
              <c:f>'приложение 2.3'!$C$77:$AA$77</c:f>
              <c:numCache>
                <c:formatCode>_(* #\ ##0_);_(* \(#\ ##0\);_(* "-"_);_(@_)</c:formatCode>
                <c:ptCount val="25"/>
                <c:pt idx="0">
                  <c:v>24198463.266856689</c:v>
                </c:pt>
                <c:pt idx="1">
                  <c:v>18324679.406881601</c:v>
                </c:pt>
                <c:pt idx="2">
                  <c:v>6686585.7335257046</c:v>
                </c:pt>
                <c:pt idx="3">
                  <c:v>-286925.74602610496</c:v>
                </c:pt>
                <c:pt idx="4">
                  <c:v>-4627162.5026732795</c:v>
                </c:pt>
                <c:pt idx="5">
                  <c:v>-3161159.6995709175</c:v>
                </c:pt>
                <c:pt idx="6">
                  <c:v>-1883226.706786359</c:v>
                </c:pt>
                <c:pt idx="7">
                  <c:v>-1669075.0292572863</c:v>
                </c:pt>
                <c:pt idx="8">
                  <c:v>-721162.53816638177</c:v>
                </c:pt>
                <c:pt idx="9">
                  <c:v>138003.40334687813</c:v>
                </c:pt>
                <c:pt idx="10">
                  <c:v>876613.71826735302</c:v>
                </c:pt>
                <c:pt idx="11">
                  <c:v>4169955.2026544055</c:v>
                </c:pt>
                <c:pt idx="12">
                  <c:v>3886375.9665487399</c:v>
                </c:pt>
                <c:pt idx="13">
                  <c:v>3388926.6613994786</c:v>
                </c:pt>
                <c:pt idx="14">
                  <c:v>3271620.12095092</c:v>
                </c:pt>
                <c:pt idx="15">
                  <c:v>3157619.3593093459</c:v>
                </c:pt>
                <c:pt idx="16">
                  <c:v>2836672.0290895505</c:v>
                </c:pt>
                <c:pt idx="17">
                  <c:v>2737359.7449519653</c:v>
                </c:pt>
                <c:pt idx="18">
                  <c:v>2641296.6182731707</c:v>
                </c:pt>
                <c:pt idx="19">
                  <c:v>2548394.9515525559</c:v>
                </c:pt>
                <c:pt idx="20">
                  <c:v>2458567.7883420032</c:v>
                </c:pt>
                <c:pt idx="21">
                  <c:v>2371729.0792416316</c:v>
                </c:pt>
                <c:pt idx="22">
                  <c:v>2287793.8267880981</c:v>
                </c:pt>
                <c:pt idx="23">
                  <c:v>2206678.2111753123</c:v>
                </c:pt>
                <c:pt idx="24">
                  <c:v>2128299.6985858721</c:v>
                </c:pt>
              </c:numCache>
            </c:numRef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Ref>
              <c:f>'приложение 2.3'!$C$64:$AA$64</c:f>
              <c:numCache>
                <c:formatCode>#\ ##0.0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numCache>
            </c:numRef>
          </c:cat>
          <c:val>
            <c:numRef>
              <c:f>'приложение 2.3'!$C$78:$AA$78</c:f>
              <c:numCache>
                <c:formatCode>_(* #\ ##0_);_(* \(#\ ##0\);_(* "-"_);_(@_)</c:formatCode>
                <c:ptCount val="25"/>
                <c:pt idx="0">
                  <c:v>-46021536.733143315</c:v>
                </c:pt>
                <c:pt idx="1">
                  <c:v>-27696857.326261714</c:v>
                </c:pt>
                <c:pt idx="2">
                  <c:v>-21010271.59273601</c:v>
                </c:pt>
                <c:pt idx="3">
                  <c:v>-21297197.338762116</c:v>
                </c:pt>
                <c:pt idx="4">
                  <c:v>-25924359.841435395</c:v>
                </c:pt>
                <c:pt idx="5">
                  <c:v>-29085519.541006312</c:v>
                </c:pt>
                <c:pt idx="6">
                  <c:v>-30968746.247792672</c:v>
                </c:pt>
                <c:pt idx="7">
                  <c:v>-32637821.277049959</c:v>
                </c:pt>
                <c:pt idx="8">
                  <c:v>-33358983.81521634</c:v>
                </c:pt>
                <c:pt idx="9">
                  <c:v>-33220980.411869463</c:v>
                </c:pt>
                <c:pt idx="10">
                  <c:v>-32344366.693602111</c:v>
                </c:pt>
                <c:pt idx="11">
                  <c:v>-28174411.490947705</c:v>
                </c:pt>
                <c:pt idx="12">
                  <c:v>-24288035.524398964</c:v>
                </c:pt>
                <c:pt idx="13">
                  <c:v>-20899108.862999484</c:v>
                </c:pt>
                <c:pt idx="14">
                  <c:v>-17627488.742048565</c:v>
                </c:pt>
                <c:pt idx="15">
                  <c:v>-14469869.38273922</c:v>
                </c:pt>
                <c:pt idx="16">
                  <c:v>-11633197.353649668</c:v>
                </c:pt>
                <c:pt idx="17">
                  <c:v>-8895837.6086977031</c:v>
                </c:pt>
                <c:pt idx="18">
                  <c:v>-6254540.9904245324</c:v>
                </c:pt>
                <c:pt idx="19">
                  <c:v>-3706146.0388719765</c:v>
                </c:pt>
                <c:pt idx="20">
                  <c:v>-1247578.2505299733</c:v>
                </c:pt>
                <c:pt idx="21">
                  <c:v>1124150.8287116583</c:v>
                </c:pt>
                <c:pt idx="22">
                  <c:v>3411944.6554997563</c:v>
                </c:pt>
                <c:pt idx="23">
                  <c:v>5618622.8666750686</c:v>
                </c:pt>
                <c:pt idx="24">
                  <c:v>7746922.5652609412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056864"/>
        <c:axId val="1909060672"/>
      </c:lineChart>
      <c:catAx>
        <c:axId val="1909056864"/>
        <c:scaling>
          <c:orientation val="minMax"/>
        </c:scaling>
        <c:delete val="0"/>
        <c:axPos val="b"/>
        <c:numFmt formatCode="#\ ##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60672"/>
        <c:crosses val="autoZero"/>
        <c:auto val="1"/>
        <c:lblAlgn val="ctr"/>
        <c:lblOffset val="100"/>
        <c:noMultiLvlLbl val="0"/>
      </c:catAx>
      <c:valAx>
        <c:axId val="1909060672"/>
        <c:scaling>
          <c:orientation val="minMax"/>
        </c:scaling>
        <c:delete val="0"/>
        <c:axPos val="l"/>
        <c:majorGridlines/>
        <c:numFmt formatCode="_(* #\ ##0_);_(* \(#\ ##0\);_(* &quot;-&quot;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568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1578421578421578"/>
          <c:y val="0.89019948758994938"/>
          <c:w val="0.66433566433566438"/>
          <c:h val="7.8431672915414044E-2"/>
        </c:manualLayout>
      </c:layout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4842800"/>
        <c:axId val="1884845520"/>
      </c:lineChart>
      <c:catAx>
        <c:axId val="188484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4845520"/>
        <c:crosses val="autoZero"/>
        <c:auto val="1"/>
        <c:lblAlgn val="ctr"/>
        <c:lblOffset val="100"/>
        <c:noMultiLvlLbl val="0"/>
      </c:catAx>
      <c:valAx>
        <c:axId val="18848455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48428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067200"/>
        <c:axId val="1909068832"/>
      </c:lineChart>
      <c:catAx>
        <c:axId val="190906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68832"/>
        <c:crosses val="autoZero"/>
        <c:auto val="1"/>
        <c:lblAlgn val="ctr"/>
        <c:lblOffset val="100"/>
        <c:noMultiLvlLbl val="0"/>
      </c:catAx>
      <c:valAx>
        <c:axId val="19090688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672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066112"/>
        <c:axId val="1909066656"/>
      </c:lineChart>
      <c:catAx>
        <c:axId val="190906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66656"/>
        <c:crosses val="autoZero"/>
        <c:auto val="1"/>
        <c:lblAlgn val="ctr"/>
        <c:lblOffset val="100"/>
        <c:noMultiLvlLbl val="0"/>
      </c:catAx>
      <c:valAx>
        <c:axId val="19090666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661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053600"/>
        <c:axId val="1909070464"/>
      </c:lineChart>
      <c:catAx>
        <c:axId val="190905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70464"/>
        <c:crosses val="autoZero"/>
        <c:auto val="1"/>
        <c:lblAlgn val="ctr"/>
        <c:lblOffset val="100"/>
        <c:noMultiLvlLbl val="0"/>
      </c:catAx>
      <c:valAx>
        <c:axId val="19090704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536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072096"/>
        <c:axId val="1909072640"/>
      </c:lineChart>
      <c:catAx>
        <c:axId val="190907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72640"/>
        <c:crosses val="autoZero"/>
        <c:auto val="1"/>
        <c:lblAlgn val="ctr"/>
        <c:lblOffset val="100"/>
        <c:noMultiLvlLbl val="0"/>
      </c:catAx>
      <c:valAx>
        <c:axId val="1909072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720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073728"/>
        <c:axId val="1909074272"/>
      </c:lineChart>
      <c:catAx>
        <c:axId val="190907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74272"/>
        <c:crosses val="autoZero"/>
        <c:auto val="1"/>
        <c:lblAlgn val="ctr"/>
        <c:lblOffset val="100"/>
        <c:noMultiLvlLbl val="0"/>
      </c:catAx>
      <c:valAx>
        <c:axId val="19090742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737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059040"/>
        <c:axId val="1909077536"/>
      </c:lineChart>
      <c:catAx>
        <c:axId val="190905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77536"/>
        <c:crosses val="autoZero"/>
        <c:auto val="1"/>
        <c:lblAlgn val="ctr"/>
        <c:lblOffset val="100"/>
        <c:noMultiLvlLbl val="0"/>
      </c:catAx>
      <c:valAx>
        <c:axId val="19090775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590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081344"/>
        <c:axId val="1909085152"/>
      </c:lineChart>
      <c:catAx>
        <c:axId val="190908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85152"/>
        <c:crosses val="autoZero"/>
        <c:auto val="1"/>
        <c:lblAlgn val="ctr"/>
        <c:lblOffset val="100"/>
        <c:noMultiLvlLbl val="0"/>
      </c:catAx>
      <c:valAx>
        <c:axId val="19090851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813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081888"/>
        <c:axId val="1909079712"/>
      </c:lineChart>
      <c:catAx>
        <c:axId val="190908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79712"/>
        <c:crosses val="autoZero"/>
        <c:auto val="1"/>
        <c:lblAlgn val="ctr"/>
        <c:lblOffset val="100"/>
        <c:noMultiLvlLbl val="0"/>
      </c:catAx>
      <c:valAx>
        <c:axId val="19090797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818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076992"/>
        <c:axId val="1909078080"/>
      </c:lineChart>
      <c:catAx>
        <c:axId val="190907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78080"/>
        <c:crosses val="autoZero"/>
        <c:auto val="1"/>
        <c:lblAlgn val="ctr"/>
        <c:lblOffset val="100"/>
        <c:noMultiLvlLbl val="0"/>
      </c:catAx>
      <c:valAx>
        <c:axId val="19090780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769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080800"/>
        <c:axId val="1909082976"/>
      </c:lineChart>
      <c:catAx>
        <c:axId val="190908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82976"/>
        <c:crosses val="autoZero"/>
        <c:auto val="1"/>
        <c:lblAlgn val="ctr"/>
        <c:lblOffset val="100"/>
        <c:noMultiLvlLbl val="0"/>
      </c:catAx>
      <c:valAx>
        <c:axId val="19090829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808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5102240"/>
        <c:axId val="1885100064"/>
      </c:lineChart>
      <c:catAx>
        <c:axId val="188510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5100064"/>
        <c:crosses val="autoZero"/>
        <c:auto val="1"/>
        <c:lblAlgn val="ctr"/>
        <c:lblOffset val="100"/>
        <c:noMultiLvlLbl val="0"/>
      </c:catAx>
      <c:valAx>
        <c:axId val="18851000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51022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085696"/>
        <c:axId val="1909086784"/>
      </c:lineChart>
      <c:catAx>
        <c:axId val="190908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86784"/>
        <c:crosses val="autoZero"/>
        <c:auto val="1"/>
        <c:lblAlgn val="ctr"/>
        <c:lblOffset val="100"/>
        <c:noMultiLvlLbl val="0"/>
      </c:catAx>
      <c:valAx>
        <c:axId val="19090867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090856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713536"/>
        <c:axId val="1914712992"/>
      </c:lineChart>
      <c:catAx>
        <c:axId val="191471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12992"/>
        <c:crosses val="autoZero"/>
        <c:auto val="1"/>
        <c:lblAlgn val="ctr"/>
        <c:lblOffset val="100"/>
        <c:noMultiLvlLbl val="0"/>
      </c:catAx>
      <c:valAx>
        <c:axId val="19147129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135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723872"/>
        <c:axId val="1914711904"/>
      </c:lineChart>
      <c:catAx>
        <c:axId val="191472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11904"/>
        <c:crosses val="autoZero"/>
        <c:auto val="1"/>
        <c:lblAlgn val="ctr"/>
        <c:lblOffset val="100"/>
        <c:noMultiLvlLbl val="0"/>
      </c:catAx>
      <c:valAx>
        <c:axId val="19147119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238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718432"/>
        <c:axId val="1914714080"/>
      </c:lineChart>
      <c:catAx>
        <c:axId val="191471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14080"/>
        <c:crosses val="autoZero"/>
        <c:auto val="1"/>
        <c:lblAlgn val="ctr"/>
        <c:lblOffset val="100"/>
        <c:noMultiLvlLbl val="0"/>
      </c:catAx>
      <c:valAx>
        <c:axId val="19147140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184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714624"/>
        <c:axId val="1914718976"/>
      </c:lineChart>
      <c:catAx>
        <c:axId val="191471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18976"/>
        <c:crosses val="autoZero"/>
        <c:auto val="1"/>
        <c:lblAlgn val="ctr"/>
        <c:lblOffset val="100"/>
        <c:noMultiLvlLbl val="0"/>
      </c:catAx>
      <c:valAx>
        <c:axId val="19147189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146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715168"/>
        <c:axId val="1914720064"/>
      </c:lineChart>
      <c:catAx>
        <c:axId val="191471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20064"/>
        <c:crosses val="autoZero"/>
        <c:auto val="1"/>
        <c:lblAlgn val="ctr"/>
        <c:lblOffset val="100"/>
        <c:noMultiLvlLbl val="0"/>
      </c:catAx>
      <c:valAx>
        <c:axId val="19147200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151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716800"/>
        <c:axId val="1914720608"/>
      </c:lineChart>
      <c:catAx>
        <c:axId val="191471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20608"/>
        <c:crosses val="autoZero"/>
        <c:auto val="1"/>
        <c:lblAlgn val="ctr"/>
        <c:lblOffset val="100"/>
        <c:noMultiLvlLbl val="0"/>
      </c:catAx>
      <c:valAx>
        <c:axId val="19147206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168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711360"/>
        <c:axId val="1914716256"/>
      </c:lineChart>
      <c:catAx>
        <c:axId val="191471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16256"/>
        <c:crosses val="autoZero"/>
        <c:auto val="1"/>
        <c:lblAlgn val="ctr"/>
        <c:lblOffset val="100"/>
        <c:noMultiLvlLbl val="0"/>
      </c:catAx>
      <c:valAx>
        <c:axId val="19147162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113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717888"/>
        <c:axId val="1914723328"/>
      </c:lineChart>
      <c:catAx>
        <c:axId val="1914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23328"/>
        <c:crosses val="autoZero"/>
        <c:auto val="1"/>
        <c:lblAlgn val="ctr"/>
        <c:lblOffset val="100"/>
        <c:noMultiLvlLbl val="0"/>
      </c:catAx>
      <c:valAx>
        <c:axId val="19147233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178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725504"/>
        <c:axId val="1914740192"/>
      </c:lineChart>
      <c:catAx>
        <c:axId val="191472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40192"/>
        <c:crosses val="autoZero"/>
        <c:auto val="1"/>
        <c:lblAlgn val="ctr"/>
        <c:lblOffset val="100"/>
        <c:noMultiLvlLbl val="0"/>
      </c:catAx>
      <c:valAx>
        <c:axId val="19147401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255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8694576"/>
        <c:axId val="1828695120"/>
      </c:lineChart>
      <c:catAx>
        <c:axId val="182869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28695120"/>
        <c:crosses val="autoZero"/>
        <c:auto val="1"/>
        <c:lblAlgn val="ctr"/>
        <c:lblOffset val="100"/>
        <c:noMultiLvlLbl val="0"/>
      </c:catAx>
      <c:valAx>
        <c:axId val="18286951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286945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5101152"/>
        <c:axId val="1885108224"/>
      </c:lineChart>
      <c:catAx>
        <c:axId val="188510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5108224"/>
        <c:crosses val="autoZero"/>
        <c:auto val="1"/>
        <c:lblAlgn val="ctr"/>
        <c:lblOffset val="100"/>
        <c:noMultiLvlLbl val="0"/>
      </c:catAx>
      <c:valAx>
        <c:axId val="18851082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51011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741280"/>
        <c:axId val="1914736928"/>
      </c:lineChart>
      <c:catAx>
        <c:axId val="191474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36928"/>
        <c:crosses val="autoZero"/>
        <c:auto val="1"/>
        <c:lblAlgn val="ctr"/>
        <c:lblOffset val="100"/>
        <c:noMultiLvlLbl val="0"/>
      </c:catAx>
      <c:valAx>
        <c:axId val="19147369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412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733120"/>
        <c:axId val="1914735840"/>
      </c:lineChart>
      <c:catAx>
        <c:axId val="191473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35840"/>
        <c:crosses val="autoZero"/>
        <c:auto val="1"/>
        <c:lblAlgn val="ctr"/>
        <c:lblOffset val="100"/>
        <c:noMultiLvlLbl val="0"/>
      </c:catAx>
      <c:valAx>
        <c:axId val="19147358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331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727680"/>
        <c:axId val="1914739104"/>
      </c:lineChart>
      <c:catAx>
        <c:axId val="191472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39104"/>
        <c:crosses val="autoZero"/>
        <c:auto val="1"/>
        <c:lblAlgn val="ctr"/>
        <c:lblOffset val="100"/>
        <c:noMultiLvlLbl val="0"/>
      </c:catAx>
      <c:valAx>
        <c:axId val="19147391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276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735296"/>
        <c:axId val="1914738016"/>
      </c:lineChart>
      <c:catAx>
        <c:axId val="191473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38016"/>
        <c:crosses val="autoZero"/>
        <c:auto val="1"/>
        <c:lblAlgn val="ctr"/>
        <c:lblOffset val="100"/>
        <c:noMultiLvlLbl val="0"/>
      </c:catAx>
      <c:valAx>
        <c:axId val="19147380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352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727136"/>
        <c:axId val="1914726048"/>
      </c:lineChart>
      <c:catAx>
        <c:axId val="191472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26048"/>
        <c:crosses val="autoZero"/>
        <c:auto val="1"/>
        <c:lblAlgn val="ctr"/>
        <c:lblOffset val="100"/>
        <c:noMultiLvlLbl val="0"/>
      </c:catAx>
      <c:valAx>
        <c:axId val="19147260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271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740736"/>
        <c:axId val="1914742368"/>
      </c:lineChart>
      <c:catAx>
        <c:axId val="191474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42368"/>
        <c:crosses val="autoZero"/>
        <c:auto val="1"/>
        <c:lblAlgn val="ctr"/>
        <c:lblOffset val="100"/>
        <c:noMultiLvlLbl val="0"/>
      </c:catAx>
      <c:valAx>
        <c:axId val="19147423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407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732576"/>
        <c:axId val="1914730400"/>
      </c:lineChart>
      <c:catAx>
        <c:axId val="191473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30400"/>
        <c:crosses val="autoZero"/>
        <c:auto val="1"/>
        <c:lblAlgn val="ctr"/>
        <c:lblOffset val="100"/>
        <c:noMultiLvlLbl val="0"/>
      </c:catAx>
      <c:valAx>
        <c:axId val="19147304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325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758144"/>
        <c:axId val="1914746176"/>
      </c:lineChart>
      <c:catAx>
        <c:axId val="191475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46176"/>
        <c:crosses val="autoZero"/>
        <c:auto val="1"/>
        <c:lblAlgn val="ctr"/>
        <c:lblOffset val="100"/>
        <c:noMultiLvlLbl val="0"/>
      </c:catAx>
      <c:valAx>
        <c:axId val="19147461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581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744000"/>
        <c:axId val="1914758688"/>
      </c:lineChart>
      <c:catAx>
        <c:axId val="191474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58688"/>
        <c:crosses val="autoZero"/>
        <c:auto val="1"/>
        <c:lblAlgn val="ctr"/>
        <c:lblOffset val="100"/>
        <c:noMultiLvlLbl val="0"/>
      </c:catAx>
      <c:valAx>
        <c:axId val="19147586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440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748352"/>
        <c:axId val="1914746720"/>
      </c:lineChart>
      <c:catAx>
        <c:axId val="191474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46720"/>
        <c:crosses val="autoZero"/>
        <c:auto val="1"/>
        <c:lblAlgn val="ctr"/>
        <c:lblOffset val="100"/>
        <c:noMultiLvlLbl val="0"/>
      </c:catAx>
      <c:valAx>
        <c:axId val="19147467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483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5095712"/>
        <c:axId val="1885104416"/>
      </c:lineChart>
      <c:catAx>
        <c:axId val="188509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5104416"/>
        <c:crosses val="autoZero"/>
        <c:auto val="1"/>
        <c:lblAlgn val="ctr"/>
        <c:lblOffset val="100"/>
        <c:noMultiLvlLbl val="0"/>
      </c:catAx>
      <c:valAx>
        <c:axId val="18851044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50957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744544"/>
        <c:axId val="1914742912"/>
      </c:lineChart>
      <c:catAx>
        <c:axId val="191474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42912"/>
        <c:crosses val="autoZero"/>
        <c:auto val="1"/>
        <c:lblAlgn val="ctr"/>
        <c:lblOffset val="100"/>
        <c:noMultiLvlLbl val="0"/>
      </c:catAx>
      <c:valAx>
        <c:axId val="1914742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445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759232"/>
        <c:axId val="1914747264"/>
      </c:lineChart>
      <c:catAx>
        <c:axId val="191475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47264"/>
        <c:crosses val="autoZero"/>
        <c:auto val="1"/>
        <c:lblAlgn val="ctr"/>
        <c:lblOffset val="100"/>
        <c:noMultiLvlLbl val="0"/>
      </c:catAx>
      <c:valAx>
        <c:axId val="19147472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592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748896"/>
        <c:axId val="1914749440"/>
      </c:lineChart>
      <c:catAx>
        <c:axId val="191474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49440"/>
        <c:crosses val="autoZero"/>
        <c:auto val="1"/>
        <c:lblAlgn val="ctr"/>
        <c:lblOffset val="100"/>
        <c:noMultiLvlLbl val="0"/>
      </c:catAx>
      <c:valAx>
        <c:axId val="19147494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488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752704"/>
        <c:axId val="1914754880"/>
      </c:lineChart>
      <c:catAx>
        <c:axId val="191475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54880"/>
        <c:crosses val="autoZero"/>
        <c:auto val="1"/>
        <c:lblAlgn val="ctr"/>
        <c:lblOffset val="100"/>
        <c:noMultiLvlLbl val="0"/>
      </c:catAx>
      <c:valAx>
        <c:axId val="19147548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527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759776"/>
        <c:axId val="1914745088"/>
      </c:lineChart>
      <c:catAx>
        <c:axId val="191475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45088"/>
        <c:crosses val="autoZero"/>
        <c:auto val="1"/>
        <c:lblAlgn val="ctr"/>
        <c:lblOffset val="100"/>
        <c:noMultiLvlLbl val="0"/>
      </c:catAx>
      <c:valAx>
        <c:axId val="19147450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597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760864"/>
        <c:axId val="1914761408"/>
      </c:lineChart>
      <c:catAx>
        <c:axId val="191476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61408"/>
        <c:crosses val="autoZero"/>
        <c:auto val="1"/>
        <c:lblAlgn val="ctr"/>
        <c:lblOffset val="100"/>
        <c:noMultiLvlLbl val="0"/>
      </c:catAx>
      <c:valAx>
        <c:axId val="19147614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608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762496"/>
        <c:axId val="1914765216"/>
      </c:lineChart>
      <c:catAx>
        <c:axId val="191476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65216"/>
        <c:crosses val="autoZero"/>
        <c:auto val="1"/>
        <c:lblAlgn val="ctr"/>
        <c:lblOffset val="100"/>
        <c:noMultiLvlLbl val="0"/>
      </c:catAx>
      <c:valAx>
        <c:axId val="19147652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624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763584"/>
        <c:axId val="1914764128"/>
      </c:lineChart>
      <c:catAx>
        <c:axId val="191476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64128"/>
        <c:crosses val="autoZero"/>
        <c:auto val="1"/>
        <c:lblAlgn val="ctr"/>
        <c:lblOffset val="100"/>
        <c:noMultiLvlLbl val="0"/>
      </c:catAx>
      <c:valAx>
        <c:axId val="19147641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635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766304"/>
        <c:axId val="1914767392"/>
      </c:lineChart>
      <c:catAx>
        <c:axId val="191476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67392"/>
        <c:crosses val="autoZero"/>
        <c:auto val="1"/>
        <c:lblAlgn val="ctr"/>
        <c:lblOffset val="100"/>
        <c:noMultiLvlLbl val="0"/>
      </c:catAx>
      <c:valAx>
        <c:axId val="19147673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663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642272"/>
        <c:axId val="1914646624"/>
      </c:lineChart>
      <c:catAx>
        <c:axId val="191464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46624"/>
        <c:crosses val="autoZero"/>
        <c:auto val="1"/>
        <c:lblAlgn val="ctr"/>
        <c:lblOffset val="100"/>
        <c:noMultiLvlLbl val="0"/>
      </c:catAx>
      <c:valAx>
        <c:axId val="19146466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422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5103872"/>
        <c:axId val="1885104960"/>
      </c:lineChart>
      <c:catAx>
        <c:axId val="188510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5104960"/>
        <c:crosses val="autoZero"/>
        <c:auto val="1"/>
        <c:lblAlgn val="ctr"/>
        <c:lblOffset val="100"/>
        <c:noMultiLvlLbl val="0"/>
      </c:catAx>
      <c:valAx>
        <c:axId val="18851049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51038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645536"/>
        <c:axId val="1914650432"/>
      </c:lineChart>
      <c:catAx>
        <c:axId val="191464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50432"/>
        <c:crosses val="autoZero"/>
        <c:auto val="1"/>
        <c:lblAlgn val="ctr"/>
        <c:lblOffset val="100"/>
        <c:noMultiLvlLbl val="0"/>
      </c:catAx>
      <c:valAx>
        <c:axId val="19146504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455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654240"/>
        <c:axId val="1914644992"/>
      </c:lineChart>
      <c:catAx>
        <c:axId val="191465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44992"/>
        <c:crosses val="autoZero"/>
        <c:auto val="1"/>
        <c:lblAlgn val="ctr"/>
        <c:lblOffset val="100"/>
        <c:noMultiLvlLbl val="0"/>
      </c:catAx>
      <c:valAx>
        <c:axId val="19146449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542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642816"/>
        <c:axId val="1914643360"/>
      </c:lineChart>
      <c:catAx>
        <c:axId val="191464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43360"/>
        <c:crosses val="autoZero"/>
        <c:auto val="1"/>
        <c:lblAlgn val="ctr"/>
        <c:lblOffset val="100"/>
        <c:noMultiLvlLbl val="0"/>
      </c:catAx>
      <c:valAx>
        <c:axId val="19146433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428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/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1846549758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82942779634614"/>
          <c:y val="9.9557370143547624E-2"/>
          <c:w val="0.7765295092284884"/>
          <c:h val="0.80442543447501413"/>
        </c:manualLayout>
      </c:layout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Ref>
              <c:f>'приложение 2.3'!$C$342:$AA$342</c:f>
              <c:numCache>
                <c:formatCode>#\ ##0.0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numCache>
            </c:numRef>
          </c:cat>
          <c:val>
            <c:numRef>
              <c:f>'приложение 2.3'!$C$355:$AA$355</c:f>
              <c:numCache>
                <c:formatCode>_(* #\ ##0_);_(* \(#\ ##0\);_(* "-"_);_(@_)</c:formatCode>
                <c:ptCount val="25"/>
                <c:pt idx="0">
                  <c:v>269163.02750726952</c:v>
                </c:pt>
                <c:pt idx="1">
                  <c:v>288568.52565960382</c:v>
                </c:pt>
                <c:pt idx="2">
                  <c:v>277836.20922184782</c:v>
                </c:pt>
                <c:pt idx="3">
                  <c:v>267511.81758937472</c:v>
                </c:pt>
                <c:pt idx="4">
                  <c:v>252459.22222700977</c:v>
                </c:pt>
                <c:pt idx="5">
                  <c:v>244377.61717506172</c:v>
                </c:pt>
                <c:pt idx="6">
                  <c:v>236459.03119164036</c:v>
                </c:pt>
                <c:pt idx="7">
                  <c:v>188150.95445748846</c:v>
                </c:pt>
                <c:pt idx="8">
                  <c:v>180048.93204772496</c:v>
                </c:pt>
                <c:pt idx="9">
                  <c:v>174174.73202209757</c:v>
                </c:pt>
                <c:pt idx="10">
                  <c:v>168429.00345970911</c:v>
                </c:pt>
                <c:pt idx="11">
                  <c:v>162816.06709143621</c:v>
                </c:pt>
                <c:pt idx="12">
                  <c:v>157339.2100232885</c:v>
                </c:pt>
                <c:pt idx="13">
                  <c:v>152000.80494867644</c:v>
                </c:pt>
                <c:pt idx="14">
                  <c:v>146802.41764651702</c:v>
                </c:pt>
                <c:pt idx="15">
                  <c:v>141744.90384433494</c:v>
                </c:pt>
                <c:pt idx="16">
                  <c:v>136828.49642936542</c:v>
                </c:pt>
                <c:pt idx="17">
                  <c:v>132052.88390290487</c:v>
                </c:pt>
                <c:pt idx="18">
                  <c:v>127417.28089306862</c:v>
                </c:pt>
                <c:pt idx="19">
                  <c:v>115445.70649382262</c:v>
                </c:pt>
                <c:pt idx="20">
                  <c:v>111374.79043996391</c:v>
                </c:pt>
                <c:pt idx="21">
                  <c:v>107439.44126842925</c:v>
                </c:pt>
                <c:pt idx="22">
                  <c:v>103635.79186129966</c:v>
                </c:pt>
                <c:pt idx="23">
                  <c:v>99960.029819578034</c:v>
                </c:pt>
                <c:pt idx="24">
                  <c:v>96408.402261613839</c:v>
                </c:pt>
              </c:numCache>
            </c:numRef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Ref>
              <c:f>'приложение 2.3'!$C$342:$AA$342</c:f>
              <c:numCache>
                <c:formatCode>#\ ##0.0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numCache>
            </c:numRef>
          </c:cat>
          <c:val>
            <c:numRef>
              <c:f>'приложение 2.3'!$C$356:$AA$356</c:f>
              <c:numCache>
                <c:formatCode>_(* #\ ##0_);_(* \(#\ ##0\);_(* "-"_);_(@_)</c:formatCode>
                <c:ptCount val="25"/>
                <c:pt idx="0">
                  <c:v>-2910836.9724927302</c:v>
                </c:pt>
                <c:pt idx="1">
                  <c:v>-2622268.4468331262</c:v>
                </c:pt>
                <c:pt idx="2">
                  <c:v>-2344432.2376112784</c:v>
                </c:pt>
                <c:pt idx="3">
                  <c:v>-2076920.4200219037</c:v>
                </c:pt>
                <c:pt idx="4">
                  <c:v>-1824461.197794894</c:v>
                </c:pt>
                <c:pt idx="5">
                  <c:v>-1580083.5806198323</c:v>
                </c:pt>
                <c:pt idx="6">
                  <c:v>-1343624.549428192</c:v>
                </c:pt>
                <c:pt idx="7">
                  <c:v>-1155473.5949707036</c:v>
                </c:pt>
                <c:pt idx="8">
                  <c:v>-975424.66292297863</c:v>
                </c:pt>
                <c:pt idx="9">
                  <c:v>-801249.93090088107</c:v>
                </c:pt>
                <c:pt idx="10">
                  <c:v>-632820.92744117195</c:v>
                </c:pt>
                <c:pt idx="11">
                  <c:v>-470004.86034973571</c:v>
                </c:pt>
                <c:pt idx="12">
                  <c:v>-312665.65032644721</c:v>
                </c:pt>
                <c:pt idx="13">
                  <c:v>-160664.84537777078</c:v>
                </c:pt>
                <c:pt idx="14">
                  <c:v>-13862.42773125376</c:v>
                </c:pt>
                <c:pt idx="15">
                  <c:v>127882.47611308118</c:v>
                </c:pt>
                <c:pt idx="16">
                  <c:v>264710.97254244657</c:v>
                </c:pt>
                <c:pt idx="17">
                  <c:v>396763.85644535144</c:v>
                </c:pt>
                <c:pt idx="18">
                  <c:v>524181.13733842003</c:v>
                </c:pt>
                <c:pt idx="19">
                  <c:v>639626.84383224265</c:v>
                </c:pt>
                <c:pt idx="20">
                  <c:v>751001.63427220657</c:v>
                </c:pt>
                <c:pt idx="21">
                  <c:v>858441.07554063585</c:v>
                </c:pt>
                <c:pt idx="22">
                  <c:v>962076.86740193551</c:v>
                </c:pt>
                <c:pt idx="23">
                  <c:v>1062036.8972215136</c:v>
                </c:pt>
                <c:pt idx="24">
                  <c:v>1158445.2994831274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647168"/>
        <c:axId val="1914652064"/>
      </c:lineChart>
      <c:catAx>
        <c:axId val="1914647168"/>
        <c:scaling>
          <c:orientation val="minMax"/>
        </c:scaling>
        <c:delete val="0"/>
        <c:axPos val="b"/>
        <c:numFmt formatCode="#\ ##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52064"/>
        <c:crosses val="autoZero"/>
        <c:auto val="1"/>
        <c:lblAlgn val="ctr"/>
        <c:lblOffset val="100"/>
        <c:noMultiLvlLbl val="0"/>
      </c:catAx>
      <c:valAx>
        <c:axId val="1914652064"/>
        <c:scaling>
          <c:orientation val="minMax"/>
        </c:scaling>
        <c:delete val="0"/>
        <c:axPos val="l"/>
        <c:majorGridlines/>
        <c:numFmt formatCode="_(* #\ ##0_);_(* \(#\ ##0\);_(* &quot;-&quot;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471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1578421578421578"/>
          <c:y val="0.89019948758994938"/>
          <c:w val="0.66433566433566438"/>
          <c:h val="7.8431672915414044E-2"/>
        </c:manualLayout>
      </c:layout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649344"/>
        <c:axId val="1914649888"/>
      </c:lineChart>
      <c:catAx>
        <c:axId val="191464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49888"/>
        <c:crosses val="autoZero"/>
        <c:auto val="1"/>
        <c:lblAlgn val="ctr"/>
        <c:lblOffset val="100"/>
        <c:noMultiLvlLbl val="0"/>
      </c:catAx>
      <c:valAx>
        <c:axId val="19146498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493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651520"/>
        <c:axId val="1914652608"/>
      </c:lineChart>
      <c:catAx>
        <c:axId val="191465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52608"/>
        <c:crosses val="autoZero"/>
        <c:auto val="1"/>
        <c:lblAlgn val="ctr"/>
        <c:lblOffset val="100"/>
        <c:noMultiLvlLbl val="0"/>
      </c:catAx>
      <c:valAx>
        <c:axId val="19146526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515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655872"/>
        <c:axId val="1914640096"/>
      </c:lineChart>
      <c:catAx>
        <c:axId val="191465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40096"/>
        <c:crosses val="autoZero"/>
        <c:auto val="1"/>
        <c:lblAlgn val="ctr"/>
        <c:lblOffset val="100"/>
        <c:noMultiLvlLbl val="0"/>
      </c:catAx>
      <c:valAx>
        <c:axId val="19146400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558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656960"/>
        <c:axId val="1914640640"/>
      </c:lineChart>
      <c:catAx>
        <c:axId val="191465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40640"/>
        <c:crosses val="autoZero"/>
        <c:auto val="1"/>
        <c:lblAlgn val="ctr"/>
        <c:lblOffset val="100"/>
        <c:noMultiLvlLbl val="0"/>
      </c:catAx>
      <c:valAx>
        <c:axId val="1914640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569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665120"/>
        <c:axId val="1914671648"/>
      </c:lineChart>
      <c:catAx>
        <c:axId val="191466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71648"/>
        <c:crosses val="autoZero"/>
        <c:auto val="1"/>
        <c:lblAlgn val="ctr"/>
        <c:lblOffset val="100"/>
        <c:noMultiLvlLbl val="0"/>
      </c:catAx>
      <c:valAx>
        <c:axId val="19146716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651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658592"/>
        <c:axId val="1914662400"/>
      </c:lineChart>
      <c:catAx>
        <c:axId val="191465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62400"/>
        <c:crosses val="autoZero"/>
        <c:auto val="1"/>
        <c:lblAlgn val="ctr"/>
        <c:lblOffset val="100"/>
        <c:noMultiLvlLbl val="0"/>
      </c:catAx>
      <c:valAx>
        <c:axId val="19146624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585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5103328"/>
        <c:axId val="1885107680"/>
      </c:lineChart>
      <c:catAx>
        <c:axId val="188510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5107680"/>
        <c:crosses val="autoZero"/>
        <c:auto val="1"/>
        <c:lblAlgn val="ctr"/>
        <c:lblOffset val="100"/>
        <c:noMultiLvlLbl val="0"/>
      </c:catAx>
      <c:valAx>
        <c:axId val="18851076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51033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659680"/>
        <c:axId val="1914661856"/>
      </c:lineChart>
      <c:catAx>
        <c:axId val="191465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61856"/>
        <c:crosses val="autoZero"/>
        <c:auto val="1"/>
        <c:lblAlgn val="ctr"/>
        <c:lblOffset val="100"/>
        <c:noMultiLvlLbl val="0"/>
      </c:catAx>
      <c:valAx>
        <c:axId val="19146618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596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664576"/>
        <c:axId val="1914672736"/>
      </c:lineChart>
      <c:catAx>
        <c:axId val="191466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72736"/>
        <c:crosses val="autoZero"/>
        <c:auto val="1"/>
        <c:lblAlgn val="ctr"/>
        <c:lblOffset val="100"/>
        <c:noMultiLvlLbl val="0"/>
      </c:catAx>
      <c:valAx>
        <c:axId val="1914672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645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671104"/>
        <c:axId val="1914662944"/>
      </c:lineChart>
      <c:catAx>
        <c:axId val="191467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62944"/>
        <c:crosses val="autoZero"/>
        <c:auto val="1"/>
        <c:lblAlgn val="ctr"/>
        <c:lblOffset val="100"/>
        <c:noMultiLvlLbl val="0"/>
      </c:catAx>
      <c:valAx>
        <c:axId val="1914662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711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668384"/>
        <c:axId val="1914668928"/>
      </c:lineChart>
      <c:catAx>
        <c:axId val="191466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68928"/>
        <c:crosses val="autoZero"/>
        <c:auto val="1"/>
        <c:lblAlgn val="ctr"/>
        <c:lblOffset val="100"/>
        <c:noMultiLvlLbl val="0"/>
      </c:catAx>
      <c:valAx>
        <c:axId val="19146689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683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669472"/>
        <c:axId val="1914670016"/>
      </c:lineChart>
      <c:catAx>
        <c:axId val="19146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70016"/>
        <c:crosses val="autoZero"/>
        <c:auto val="1"/>
        <c:lblAlgn val="ctr"/>
        <c:lblOffset val="100"/>
        <c:noMultiLvlLbl val="0"/>
      </c:catAx>
      <c:valAx>
        <c:axId val="19146700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694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679808"/>
        <c:axId val="1914676544"/>
      </c:lineChart>
      <c:catAx>
        <c:axId val="191467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76544"/>
        <c:crosses val="autoZero"/>
        <c:auto val="1"/>
        <c:lblAlgn val="ctr"/>
        <c:lblOffset val="100"/>
        <c:noMultiLvlLbl val="0"/>
      </c:catAx>
      <c:valAx>
        <c:axId val="19146765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798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687968"/>
        <c:axId val="1914682528"/>
      </c:lineChart>
      <c:catAx>
        <c:axId val="191468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82528"/>
        <c:crosses val="autoZero"/>
        <c:auto val="1"/>
        <c:lblAlgn val="ctr"/>
        <c:lblOffset val="100"/>
        <c:noMultiLvlLbl val="0"/>
      </c:catAx>
      <c:valAx>
        <c:axId val="19146825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879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681440"/>
        <c:axId val="1914673280"/>
      </c:lineChart>
      <c:catAx>
        <c:axId val="191468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73280"/>
        <c:crosses val="autoZero"/>
        <c:auto val="1"/>
        <c:lblAlgn val="ctr"/>
        <c:lblOffset val="100"/>
        <c:noMultiLvlLbl val="0"/>
      </c:catAx>
      <c:valAx>
        <c:axId val="19146732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814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681984"/>
        <c:axId val="1914683616"/>
      </c:lineChart>
      <c:catAx>
        <c:axId val="191468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83616"/>
        <c:crosses val="autoZero"/>
        <c:auto val="1"/>
        <c:lblAlgn val="ctr"/>
        <c:lblOffset val="100"/>
        <c:noMultiLvlLbl val="0"/>
      </c:catAx>
      <c:valAx>
        <c:axId val="19146836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819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684160"/>
        <c:axId val="1914677632"/>
      </c:lineChart>
      <c:catAx>
        <c:axId val="191468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77632"/>
        <c:crosses val="autoZero"/>
        <c:auto val="1"/>
        <c:lblAlgn val="ctr"/>
        <c:lblOffset val="100"/>
        <c:noMultiLvlLbl val="0"/>
      </c:catAx>
      <c:valAx>
        <c:axId val="19146776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841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5105504"/>
        <c:axId val="1885102784"/>
      </c:lineChart>
      <c:catAx>
        <c:axId val="188510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5102784"/>
        <c:crosses val="autoZero"/>
        <c:auto val="1"/>
        <c:lblAlgn val="ctr"/>
        <c:lblOffset val="100"/>
        <c:noMultiLvlLbl val="0"/>
      </c:catAx>
      <c:valAx>
        <c:axId val="18851027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51055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679264"/>
        <c:axId val="1914685792"/>
      </c:lineChart>
      <c:catAx>
        <c:axId val="191467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85792"/>
        <c:crosses val="autoZero"/>
        <c:auto val="1"/>
        <c:lblAlgn val="ctr"/>
        <c:lblOffset val="100"/>
        <c:noMultiLvlLbl val="0"/>
      </c:catAx>
      <c:valAx>
        <c:axId val="19146857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792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688512"/>
        <c:axId val="1914689600"/>
      </c:lineChart>
      <c:catAx>
        <c:axId val="191468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89600"/>
        <c:crosses val="autoZero"/>
        <c:auto val="1"/>
        <c:lblAlgn val="ctr"/>
        <c:lblOffset val="100"/>
        <c:noMultiLvlLbl val="0"/>
      </c:catAx>
      <c:valAx>
        <c:axId val="19146896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885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678176"/>
        <c:axId val="1914690688"/>
      </c:lineChart>
      <c:catAx>
        <c:axId val="191467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90688"/>
        <c:crosses val="autoZero"/>
        <c:auto val="1"/>
        <c:lblAlgn val="ctr"/>
        <c:lblOffset val="100"/>
        <c:noMultiLvlLbl val="0"/>
      </c:catAx>
      <c:valAx>
        <c:axId val="19146906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781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676000"/>
        <c:axId val="1914674912"/>
      </c:lineChart>
      <c:catAx>
        <c:axId val="191467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74912"/>
        <c:crosses val="autoZero"/>
        <c:auto val="1"/>
        <c:lblAlgn val="ctr"/>
        <c:lblOffset val="100"/>
        <c:noMultiLvlLbl val="0"/>
      </c:catAx>
      <c:valAx>
        <c:axId val="1914674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760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692864"/>
        <c:axId val="1914707552"/>
      </c:lineChart>
      <c:catAx>
        <c:axId val="191469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07552"/>
        <c:crosses val="autoZero"/>
        <c:auto val="1"/>
        <c:lblAlgn val="ctr"/>
        <c:lblOffset val="100"/>
        <c:noMultiLvlLbl val="0"/>
      </c:catAx>
      <c:valAx>
        <c:axId val="19147075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928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701024"/>
        <c:axId val="1914696672"/>
      </c:lineChart>
      <c:catAx>
        <c:axId val="191470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96672"/>
        <c:crosses val="autoZero"/>
        <c:auto val="1"/>
        <c:lblAlgn val="ctr"/>
        <c:lblOffset val="100"/>
        <c:noMultiLvlLbl val="0"/>
      </c:catAx>
      <c:valAx>
        <c:axId val="19146966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010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697760"/>
        <c:axId val="1914694496"/>
      </c:lineChart>
      <c:catAx>
        <c:axId val="191469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94496"/>
        <c:crosses val="autoZero"/>
        <c:auto val="1"/>
        <c:lblAlgn val="ctr"/>
        <c:lblOffset val="100"/>
        <c:noMultiLvlLbl val="0"/>
      </c:catAx>
      <c:valAx>
        <c:axId val="19146944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977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695584"/>
        <c:axId val="1914696128"/>
      </c:lineChart>
      <c:catAx>
        <c:axId val="191469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96128"/>
        <c:crosses val="autoZero"/>
        <c:auto val="1"/>
        <c:lblAlgn val="ctr"/>
        <c:lblOffset val="100"/>
        <c:noMultiLvlLbl val="0"/>
      </c:catAx>
      <c:valAx>
        <c:axId val="19146961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955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699392"/>
        <c:axId val="1914693952"/>
      </c:lineChart>
      <c:catAx>
        <c:axId val="191469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93952"/>
        <c:crosses val="autoZero"/>
        <c:auto val="1"/>
        <c:lblAlgn val="ctr"/>
        <c:lblOffset val="100"/>
        <c:noMultiLvlLbl val="0"/>
      </c:catAx>
      <c:valAx>
        <c:axId val="19146939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993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699936"/>
        <c:axId val="1914705376"/>
      </c:lineChart>
      <c:catAx>
        <c:axId val="191469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05376"/>
        <c:crosses val="autoZero"/>
        <c:auto val="1"/>
        <c:lblAlgn val="ctr"/>
        <c:lblOffset val="100"/>
        <c:noMultiLvlLbl val="0"/>
      </c:catAx>
      <c:valAx>
        <c:axId val="19147053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6999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5094080"/>
        <c:axId val="1885096800"/>
      </c:lineChart>
      <c:catAx>
        <c:axId val="188509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5096800"/>
        <c:crosses val="autoZero"/>
        <c:auto val="1"/>
        <c:lblAlgn val="ctr"/>
        <c:lblOffset val="100"/>
        <c:noMultiLvlLbl val="0"/>
      </c:catAx>
      <c:valAx>
        <c:axId val="18850968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50940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703744"/>
        <c:axId val="1914705920"/>
      </c:lineChart>
      <c:catAx>
        <c:axId val="191470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05920"/>
        <c:crosses val="autoZero"/>
        <c:auto val="1"/>
        <c:lblAlgn val="ctr"/>
        <c:lblOffset val="100"/>
        <c:noMultiLvlLbl val="0"/>
      </c:catAx>
      <c:valAx>
        <c:axId val="19147059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147037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198800"/>
        <c:axId val="1920199888"/>
      </c:lineChart>
      <c:catAx>
        <c:axId val="192019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199888"/>
        <c:crosses val="autoZero"/>
        <c:auto val="1"/>
        <c:lblAlgn val="ctr"/>
        <c:lblOffset val="100"/>
        <c:noMultiLvlLbl val="0"/>
      </c:catAx>
      <c:valAx>
        <c:axId val="19201998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1988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209680"/>
        <c:axId val="1920210768"/>
      </c:lineChart>
      <c:catAx>
        <c:axId val="192020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10768"/>
        <c:crosses val="autoZero"/>
        <c:auto val="1"/>
        <c:lblAlgn val="ctr"/>
        <c:lblOffset val="100"/>
        <c:noMultiLvlLbl val="0"/>
      </c:catAx>
      <c:valAx>
        <c:axId val="19202107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096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214576"/>
        <c:axId val="1920204240"/>
      </c:lineChart>
      <c:catAx>
        <c:axId val="192021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04240"/>
        <c:crosses val="autoZero"/>
        <c:auto val="1"/>
        <c:lblAlgn val="ctr"/>
        <c:lblOffset val="100"/>
        <c:noMultiLvlLbl val="0"/>
      </c:catAx>
      <c:valAx>
        <c:axId val="1920204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145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206416"/>
        <c:axId val="1920211312"/>
      </c:lineChart>
      <c:catAx>
        <c:axId val="192020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11312"/>
        <c:crosses val="autoZero"/>
        <c:auto val="1"/>
        <c:lblAlgn val="ctr"/>
        <c:lblOffset val="100"/>
        <c:noMultiLvlLbl val="0"/>
      </c:catAx>
      <c:valAx>
        <c:axId val="19202113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064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204784"/>
        <c:axId val="1920212944"/>
      </c:lineChart>
      <c:catAx>
        <c:axId val="192020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12944"/>
        <c:crosses val="autoZero"/>
        <c:auto val="1"/>
        <c:lblAlgn val="ctr"/>
        <c:lblOffset val="100"/>
        <c:noMultiLvlLbl val="0"/>
      </c:catAx>
      <c:valAx>
        <c:axId val="1920212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047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213488"/>
        <c:axId val="1920207504"/>
      </c:lineChart>
      <c:catAx>
        <c:axId val="192021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07504"/>
        <c:crosses val="autoZero"/>
        <c:auto val="1"/>
        <c:lblAlgn val="ctr"/>
        <c:lblOffset val="100"/>
        <c:noMultiLvlLbl val="0"/>
      </c:catAx>
      <c:valAx>
        <c:axId val="19202075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134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199344"/>
        <c:axId val="1920208048"/>
      </c:lineChart>
      <c:catAx>
        <c:axId val="192019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08048"/>
        <c:crosses val="autoZero"/>
        <c:auto val="1"/>
        <c:lblAlgn val="ctr"/>
        <c:lblOffset val="100"/>
        <c:noMultiLvlLbl val="0"/>
      </c:catAx>
      <c:valAx>
        <c:axId val="19202080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1993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201520"/>
        <c:axId val="1920208592"/>
      </c:lineChart>
      <c:catAx>
        <c:axId val="192020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08592"/>
        <c:crosses val="autoZero"/>
        <c:auto val="1"/>
        <c:lblAlgn val="ctr"/>
        <c:lblOffset val="100"/>
        <c:noMultiLvlLbl val="0"/>
      </c:catAx>
      <c:valAx>
        <c:axId val="19202085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015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200976"/>
        <c:axId val="1920217840"/>
      </c:lineChart>
      <c:catAx>
        <c:axId val="19202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17840"/>
        <c:crosses val="autoZero"/>
        <c:auto val="1"/>
        <c:lblAlgn val="ctr"/>
        <c:lblOffset val="100"/>
        <c:noMultiLvlLbl val="0"/>
      </c:catAx>
      <c:valAx>
        <c:axId val="19202178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009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5099520"/>
        <c:axId val="1885945968"/>
      </c:lineChart>
      <c:catAx>
        <c:axId val="188509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5945968"/>
        <c:crosses val="autoZero"/>
        <c:auto val="1"/>
        <c:lblAlgn val="ctr"/>
        <c:lblOffset val="100"/>
        <c:noMultiLvlLbl val="0"/>
      </c:catAx>
      <c:valAx>
        <c:axId val="18859459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50995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202608"/>
        <c:axId val="1920219472"/>
      </c:lineChart>
      <c:catAx>
        <c:axId val="192020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19472"/>
        <c:crosses val="autoZero"/>
        <c:auto val="1"/>
        <c:lblAlgn val="ctr"/>
        <c:lblOffset val="100"/>
        <c:noMultiLvlLbl val="0"/>
      </c:catAx>
      <c:valAx>
        <c:axId val="19202194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026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229264"/>
        <c:axId val="1920227088"/>
      </c:lineChart>
      <c:catAx>
        <c:axId val="192022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27088"/>
        <c:crosses val="autoZero"/>
        <c:auto val="1"/>
        <c:lblAlgn val="ctr"/>
        <c:lblOffset val="100"/>
        <c:noMultiLvlLbl val="0"/>
      </c:catAx>
      <c:valAx>
        <c:axId val="19202270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292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220016"/>
        <c:axId val="1920233072"/>
      </c:lineChart>
      <c:catAx>
        <c:axId val="192022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33072"/>
        <c:crosses val="autoZero"/>
        <c:auto val="1"/>
        <c:lblAlgn val="ctr"/>
        <c:lblOffset val="100"/>
        <c:noMultiLvlLbl val="0"/>
      </c:catAx>
      <c:valAx>
        <c:axId val="19202330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200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225456"/>
        <c:axId val="1920228176"/>
      </c:lineChart>
      <c:catAx>
        <c:axId val="192022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28176"/>
        <c:crosses val="autoZero"/>
        <c:auto val="1"/>
        <c:lblAlgn val="ctr"/>
        <c:lblOffset val="100"/>
        <c:noMultiLvlLbl val="0"/>
      </c:catAx>
      <c:valAx>
        <c:axId val="19202281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254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220560"/>
        <c:axId val="1920229808"/>
      </c:lineChart>
      <c:catAx>
        <c:axId val="192022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29808"/>
        <c:crosses val="autoZero"/>
        <c:auto val="1"/>
        <c:lblAlgn val="ctr"/>
        <c:lblOffset val="100"/>
        <c:noMultiLvlLbl val="0"/>
      </c:catAx>
      <c:valAx>
        <c:axId val="19202298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205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222192"/>
        <c:axId val="1920231984"/>
      </c:lineChart>
      <c:catAx>
        <c:axId val="192022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31984"/>
        <c:crosses val="autoZero"/>
        <c:auto val="1"/>
        <c:lblAlgn val="ctr"/>
        <c:lblOffset val="100"/>
        <c:noMultiLvlLbl val="0"/>
      </c:catAx>
      <c:valAx>
        <c:axId val="19202319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221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223280"/>
        <c:axId val="1920224368"/>
      </c:lineChart>
      <c:catAx>
        <c:axId val="192022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24368"/>
        <c:crosses val="autoZero"/>
        <c:auto val="1"/>
        <c:lblAlgn val="ctr"/>
        <c:lblOffset val="100"/>
        <c:noMultiLvlLbl val="0"/>
      </c:catAx>
      <c:valAx>
        <c:axId val="19202243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232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239600"/>
        <c:axId val="1920246128"/>
      </c:lineChart>
      <c:catAx>
        <c:axId val="192023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46128"/>
        <c:crosses val="autoZero"/>
        <c:auto val="1"/>
        <c:lblAlgn val="ctr"/>
        <c:lblOffset val="100"/>
        <c:noMultiLvlLbl val="0"/>
      </c:catAx>
      <c:valAx>
        <c:axId val="19202461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396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236336"/>
        <c:axId val="1920246672"/>
      </c:lineChart>
      <c:catAx>
        <c:axId val="192023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46672"/>
        <c:crosses val="autoZero"/>
        <c:auto val="1"/>
        <c:lblAlgn val="ctr"/>
        <c:lblOffset val="100"/>
        <c:noMultiLvlLbl val="0"/>
      </c:catAx>
      <c:valAx>
        <c:axId val="19202466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363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247216"/>
        <c:axId val="1920240688"/>
      </c:lineChart>
      <c:catAx>
        <c:axId val="192024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40688"/>
        <c:crosses val="autoZero"/>
        <c:auto val="1"/>
        <c:lblAlgn val="ctr"/>
        <c:lblOffset val="100"/>
        <c:noMultiLvlLbl val="0"/>
      </c:catAx>
      <c:valAx>
        <c:axId val="19202406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472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5953584"/>
        <c:axId val="1885955216"/>
      </c:lineChart>
      <c:catAx>
        <c:axId val="188595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5955216"/>
        <c:crosses val="autoZero"/>
        <c:auto val="1"/>
        <c:lblAlgn val="ctr"/>
        <c:lblOffset val="100"/>
        <c:noMultiLvlLbl val="0"/>
      </c:catAx>
      <c:valAx>
        <c:axId val="18859552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59535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245584"/>
        <c:axId val="1920237424"/>
      </c:lineChart>
      <c:catAx>
        <c:axId val="192024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37424"/>
        <c:crosses val="autoZero"/>
        <c:auto val="1"/>
        <c:lblAlgn val="ctr"/>
        <c:lblOffset val="100"/>
        <c:noMultiLvlLbl val="0"/>
      </c:catAx>
      <c:valAx>
        <c:axId val="19202374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455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241232"/>
        <c:axId val="1920241776"/>
      </c:lineChart>
      <c:catAx>
        <c:axId val="192024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41776"/>
        <c:crosses val="autoZero"/>
        <c:auto val="1"/>
        <c:lblAlgn val="ctr"/>
        <c:lblOffset val="100"/>
        <c:noMultiLvlLbl val="0"/>
      </c:catAx>
      <c:valAx>
        <c:axId val="19202417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412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251024"/>
        <c:axId val="1920238512"/>
      </c:lineChart>
      <c:catAx>
        <c:axId val="192025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38512"/>
        <c:crosses val="autoZero"/>
        <c:auto val="1"/>
        <c:lblAlgn val="ctr"/>
        <c:lblOffset val="100"/>
        <c:noMultiLvlLbl val="0"/>
      </c:catAx>
      <c:valAx>
        <c:axId val="19202385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510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249392"/>
        <c:axId val="1920244496"/>
      </c:lineChart>
      <c:catAx>
        <c:axId val="192024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44496"/>
        <c:crosses val="autoZero"/>
        <c:auto val="1"/>
        <c:lblAlgn val="ctr"/>
        <c:lblOffset val="100"/>
        <c:noMultiLvlLbl val="0"/>
      </c:catAx>
      <c:valAx>
        <c:axId val="19202444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493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251568"/>
        <c:axId val="1920252112"/>
      </c:lineChart>
      <c:catAx>
        <c:axId val="192025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52112"/>
        <c:crosses val="autoZero"/>
        <c:auto val="1"/>
        <c:lblAlgn val="ctr"/>
        <c:lblOffset val="100"/>
        <c:noMultiLvlLbl val="0"/>
      </c:catAx>
      <c:valAx>
        <c:axId val="19202521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515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245040"/>
        <c:axId val="1920235792"/>
      </c:lineChart>
      <c:catAx>
        <c:axId val="192024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35792"/>
        <c:crosses val="autoZero"/>
        <c:auto val="1"/>
        <c:lblAlgn val="ctr"/>
        <c:lblOffset val="100"/>
        <c:noMultiLvlLbl val="0"/>
      </c:catAx>
      <c:valAx>
        <c:axId val="19202357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450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253744"/>
        <c:axId val="1920254288"/>
      </c:lineChart>
      <c:catAx>
        <c:axId val="192025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54288"/>
        <c:crosses val="autoZero"/>
        <c:auto val="1"/>
        <c:lblAlgn val="ctr"/>
        <c:lblOffset val="100"/>
        <c:noMultiLvlLbl val="0"/>
      </c:catAx>
      <c:valAx>
        <c:axId val="192025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537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239056"/>
        <c:axId val="1920261904"/>
      </c:lineChart>
      <c:catAx>
        <c:axId val="192023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61904"/>
        <c:crosses val="autoZero"/>
        <c:auto val="1"/>
        <c:lblAlgn val="ctr"/>
        <c:lblOffset val="100"/>
        <c:noMultiLvlLbl val="0"/>
      </c:catAx>
      <c:valAx>
        <c:axId val="19202619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390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257552"/>
        <c:axId val="1920266256"/>
      </c:lineChart>
      <c:catAx>
        <c:axId val="192025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66256"/>
        <c:crosses val="autoZero"/>
        <c:auto val="1"/>
        <c:lblAlgn val="ctr"/>
        <c:lblOffset val="100"/>
        <c:noMultiLvlLbl val="0"/>
      </c:catAx>
      <c:valAx>
        <c:axId val="19202662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575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266800"/>
        <c:axId val="1920256464"/>
      </c:lineChart>
      <c:catAx>
        <c:axId val="192026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56464"/>
        <c:crosses val="autoZero"/>
        <c:auto val="1"/>
        <c:lblAlgn val="ctr"/>
        <c:lblOffset val="100"/>
        <c:noMultiLvlLbl val="0"/>
      </c:catAx>
      <c:valAx>
        <c:axId val="19202564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668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5947056"/>
        <c:axId val="1885949232"/>
      </c:lineChart>
      <c:catAx>
        <c:axId val="188594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5949232"/>
        <c:crosses val="autoZero"/>
        <c:auto val="1"/>
        <c:lblAlgn val="ctr"/>
        <c:lblOffset val="100"/>
        <c:noMultiLvlLbl val="0"/>
      </c:catAx>
      <c:valAx>
        <c:axId val="18859492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59470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263536"/>
        <c:axId val="1920257008"/>
      </c:lineChart>
      <c:catAx>
        <c:axId val="192026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57008"/>
        <c:crosses val="autoZero"/>
        <c:auto val="1"/>
        <c:lblAlgn val="ctr"/>
        <c:lblOffset val="100"/>
        <c:noMultiLvlLbl val="0"/>
      </c:catAx>
      <c:valAx>
        <c:axId val="19202570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635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260272"/>
        <c:axId val="1920267888"/>
      </c:lineChart>
      <c:catAx>
        <c:axId val="192026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67888"/>
        <c:crosses val="autoZero"/>
        <c:auto val="1"/>
        <c:lblAlgn val="ctr"/>
        <c:lblOffset val="100"/>
        <c:noMultiLvlLbl val="0"/>
      </c:catAx>
      <c:valAx>
        <c:axId val="19202678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602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265168"/>
        <c:axId val="1920260816"/>
      </c:lineChart>
      <c:catAx>
        <c:axId val="192026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60816"/>
        <c:crosses val="autoZero"/>
        <c:auto val="1"/>
        <c:lblAlgn val="ctr"/>
        <c:lblOffset val="100"/>
        <c:noMultiLvlLbl val="0"/>
      </c:catAx>
      <c:valAx>
        <c:axId val="19202608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651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268432"/>
        <c:axId val="1920270064"/>
      </c:lineChart>
      <c:catAx>
        <c:axId val="192026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70064"/>
        <c:crosses val="autoZero"/>
        <c:auto val="1"/>
        <c:lblAlgn val="ctr"/>
        <c:lblOffset val="100"/>
        <c:noMultiLvlLbl val="0"/>
      </c:catAx>
      <c:valAx>
        <c:axId val="19202700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684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285296"/>
        <c:axId val="1920273872"/>
      </c:lineChart>
      <c:catAx>
        <c:axId val="192028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73872"/>
        <c:crosses val="autoZero"/>
        <c:auto val="1"/>
        <c:lblAlgn val="ctr"/>
        <c:lblOffset val="100"/>
        <c:noMultiLvlLbl val="0"/>
      </c:catAx>
      <c:valAx>
        <c:axId val="19202738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852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272784"/>
        <c:axId val="1920278224"/>
      </c:lineChart>
      <c:catAx>
        <c:axId val="192027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78224"/>
        <c:crosses val="autoZero"/>
        <c:auto val="1"/>
        <c:lblAlgn val="ctr"/>
        <c:lblOffset val="100"/>
        <c:noMultiLvlLbl val="0"/>
      </c:catAx>
      <c:valAx>
        <c:axId val="19202782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727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281488"/>
        <c:axId val="1920275504"/>
      </c:lineChart>
      <c:catAx>
        <c:axId val="192028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75504"/>
        <c:crosses val="autoZero"/>
        <c:auto val="1"/>
        <c:lblAlgn val="ctr"/>
        <c:lblOffset val="100"/>
        <c:noMultiLvlLbl val="0"/>
      </c:catAx>
      <c:valAx>
        <c:axId val="19202755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814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283664"/>
        <c:axId val="1920277136"/>
      </c:lineChart>
      <c:catAx>
        <c:axId val="192028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77136"/>
        <c:crosses val="autoZero"/>
        <c:auto val="1"/>
        <c:lblAlgn val="ctr"/>
        <c:lblOffset val="100"/>
        <c:noMultiLvlLbl val="0"/>
      </c:catAx>
      <c:valAx>
        <c:axId val="19202771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836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269520"/>
        <c:axId val="1920284208"/>
      </c:lineChart>
      <c:catAx>
        <c:axId val="192026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84208"/>
        <c:crosses val="autoZero"/>
        <c:auto val="1"/>
        <c:lblAlgn val="ctr"/>
        <c:lblOffset val="100"/>
        <c:noMultiLvlLbl val="0"/>
      </c:catAx>
      <c:valAx>
        <c:axId val="19202842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695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286384"/>
        <c:axId val="1920271696"/>
      </c:lineChart>
      <c:catAx>
        <c:axId val="192028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71696"/>
        <c:crosses val="autoZero"/>
        <c:auto val="1"/>
        <c:lblAlgn val="ctr"/>
        <c:lblOffset val="100"/>
        <c:noMultiLvlLbl val="0"/>
      </c:catAx>
      <c:valAx>
        <c:axId val="19202716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863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5959024"/>
        <c:axId val="1885961200"/>
      </c:lineChart>
      <c:catAx>
        <c:axId val="188595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5961200"/>
        <c:crosses val="autoZero"/>
        <c:auto val="1"/>
        <c:lblAlgn val="ctr"/>
        <c:lblOffset val="100"/>
        <c:noMultiLvlLbl val="0"/>
      </c:catAx>
      <c:valAx>
        <c:axId val="18859612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59590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278768"/>
        <c:axId val="1920282576"/>
      </c:lineChart>
      <c:catAx>
        <c:axId val="192027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82576"/>
        <c:crosses val="autoZero"/>
        <c:auto val="1"/>
        <c:lblAlgn val="ctr"/>
        <c:lblOffset val="100"/>
        <c:noMultiLvlLbl val="0"/>
      </c:catAx>
      <c:valAx>
        <c:axId val="19202825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787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287472"/>
        <c:axId val="1920288016"/>
      </c:lineChart>
      <c:catAx>
        <c:axId val="192028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88016"/>
        <c:crosses val="autoZero"/>
        <c:auto val="1"/>
        <c:lblAlgn val="ctr"/>
        <c:lblOffset val="100"/>
        <c:noMultiLvlLbl val="0"/>
      </c:catAx>
      <c:valAx>
        <c:axId val="19202880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874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272240"/>
        <c:axId val="1920289104"/>
      </c:lineChart>
      <c:catAx>
        <c:axId val="192027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89104"/>
        <c:crosses val="autoZero"/>
        <c:auto val="1"/>
        <c:lblAlgn val="ctr"/>
        <c:lblOffset val="100"/>
        <c:noMultiLvlLbl val="0"/>
      </c:catAx>
      <c:valAx>
        <c:axId val="19202891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722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280400"/>
        <c:axId val="1920290736"/>
      </c:lineChart>
      <c:catAx>
        <c:axId val="192028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90736"/>
        <c:crosses val="autoZero"/>
        <c:auto val="1"/>
        <c:lblAlgn val="ctr"/>
        <c:lblOffset val="100"/>
        <c:noMultiLvlLbl val="0"/>
      </c:catAx>
      <c:valAx>
        <c:axId val="1920290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804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292368"/>
        <c:axId val="1920292912"/>
      </c:lineChart>
      <c:catAx>
        <c:axId val="192029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92912"/>
        <c:crosses val="autoZero"/>
        <c:auto val="1"/>
        <c:lblAlgn val="ctr"/>
        <c:lblOffset val="100"/>
        <c:noMultiLvlLbl val="0"/>
      </c:catAx>
      <c:valAx>
        <c:axId val="1920292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2923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177584"/>
        <c:axId val="1920165616"/>
      </c:lineChart>
      <c:catAx>
        <c:axId val="192017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165616"/>
        <c:crosses val="autoZero"/>
        <c:auto val="1"/>
        <c:lblAlgn val="ctr"/>
        <c:lblOffset val="100"/>
        <c:noMultiLvlLbl val="0"/>
      </c:catAx>
      <c:valAx>
        <c:axId val="19201656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1775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164528"/>
        <c:axId val="1920165072"/>
      </c:lineChart>
      <c:catAx>
        <c:axId val="1920164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165072"/>
        <c:crosses val="autoZero"/>
        <c:auto val="1"/>
        <c:lblAlgn val="ctr"/>
        <c:lblOffset val="100"/>
        <c:noMultiLvlLbl val="0"/>
      </c:catAx>
      <c:valAx>
        <c:axId val="19201650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1645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178672"/>
        <c:axId val="1920179760"/>
      </c:lineChart>
      <c:catAx>
        <c:axId val="192017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179760"/>
        <c:crosses val="autoZero"/>
        <c:auto val="1"/>
        <c:lblAlgn val="ctr"/>
        <c:lblOffset val="100"/>
        <c:noMultiLvlLbl val="0"/>
      </c:catAx>
      <c:valAx>
        <c:axId val="19201797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1786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166704"/>
        <c:axId val="1920178128"/>
      </c:lineChart>
      <c:catAx>
        <c:axId val="192016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178128"/>
        <c:crosses val="autoZero"/>
        <c:auto val="1"/>
        <c:lblAlgn val="ctr"/>
        <c:lblOffset val="100"/>
        <c:noMultiLvlLbl val="0"/>
      </c:catAx>
      <c:valAx>
        <c:axId val="19201781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1667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180304"/>
        <c:axId val="1920173232"/>
      </c:lineChart>
      <c:catAx>
        <c:axId val="192018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173232"/>
        <c:crosses val="autoZero"/>
        <c:auto val="1"/>
        <c:lblAlgn val="ctr"/>
        <c:lblOffset val="100"/>
        <c:noMultiLvlLbl val="0"/>
      </c:catAx>
      <c:valAx>
        <c:axId val="19201732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1803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8696752"/>
        <c:axId val="1828701104"/>
      </c:lineChart>
      <c:catAx>
        <c:axId val="182869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28701104"/>
        <c:crosses val="autoZero"/>
        <c:auto val="1"/>
        <c:lblAlgn val="ctr"/>
        <c:lblOffset val="100"/>
        <c:noMultiLvlLbl val="0"/>
      </c:catAx>
      <c:valAx>
        <c:axId val="18287011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286967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5959568"/>
        <c:axId val="1885950864"/>
      </c:lineChart>
      <c:catAx>
        <c:axId val="188595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5950864"/>
        <c:crosses val="autoZero"/>
        <c:auto val="1"/>
        <c:lblAlgn val="ctr"/>
        <c:lblOffset val="100"/>
        <c:noMultiLvlLbl val="0"/>
      </c:catAx>
      <c:valAx>
        <c:axId val="1885950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59595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174864"/>
        <c:axId val="1920175952"/>
      </c:lineChart>
      <c:catAx>
        <c:axId val="192017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175952"/>
        <c:crosses val="autoZero"/>
        <c:auto val="1"/>
        <c:lblAlgn val="ctr"/>
        <c:lblOffset val="100"/>
        <c:noMultiLvlLbl val="0"/>
      </c:catAx>
      <c:valAx>
        <c:axId val="19201759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1748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182480"/>
        <c:axId val="1920171600"/>
      </c:lineChart>
      <c:catAx>
        <c:axId val="192018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171600"/>
        <c:crosses val="autoZero"/>
        <c:auto val="1"/>
        <c:lblAlgn val="ctr"/>
        <c:lblOffset val="100"/>
        <c:noMultiLvlLbl val="0"/>
      </c:catAx>
      <c:valAx>
        <c:axId val="19201716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1824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181936"/>
        <c:axId val="1920183568"/>
      </c:lineChart>
      <c:catAx>
        <c:axId val="192018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183568"/>
        <c:crosses val="autoZero"/>
        <c:auto val="1"/>
        <c:lblAlgn val="ctr"/>
        <c:lblOffset val="100"/>
        <c:noMultiLvlLbl val="0"/>
      </c:catAx>
      <c:valAx>
        <c:axId val="19201835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1819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167792"/>
        <c:axId val="1920185200"/>
      </c:lineChart>
      <c:catAx>
        <c:axId val="192016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185200"/>
        <c:crosses val="autoZero"/>
        <c:auto val="1"/>
        <c:lblAlgn val="ctr"/>
        <c:lblOffset val="100"/>
        <c:noMultiLvlLbl val="0"/>
      </c:catAx>
      <c:valAx>
        <c:axId val="19201852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1677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168880"/>
        <c:axId val="1920185744"/>
      </c:lineChart>
      <c:catAx>
        <c:axId val="192016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185744"/>
        <c:crosses val="autoZero"/>
        <c:auto val="1"/>
        <c:lblAlgn val="ctr"/>
        <c:lblOffset val="100"/>
        <c:noMultiLvlLbl val="0"/>
      </c:catAx>
      <c:valAx>
        <c:axId val="19201857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1688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186288"/>
        <c:axId val="1920186832"/>
      </c:lineChart>
      <c:catAx>
        <c:axId val="192018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186832"/>
        <c:crosses val="autoZero"/>
        <c:auto val="1"/>
        <c:lblAlgn val="ctr"/>
        <c:lblOffset val="100"/>
        <c:noMultiLvlLbl val="0"/>
      </c:catAx>
      <c:valAx>
        <c:axId val="19201868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1862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187920"/>
        <c:axId val="1920192272"/>
      </c:lineChart>
      <c:catAx>
        <c:axId val="192018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192272"/>
        <c:crosses val="autoZero"/>
        <c:auto val="1"/>
        <c:lblAlgn val="ctr"/>
        <c:lblOffset val="100"/>
        <c:noMultiLvlLbl val="0"/>
      </c:catAx>
      <c:valAx>
        <c:axId val="19201922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1879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188464"/>
        <c:axId val="1920189008"/>
      </c:lineChart>
      <c:catAx>
        <c:axId val="192018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189008"/>
        <c:crosses val="autoZero"/>
        <c:auto val="1"/>
        <c:lblAlgn val="ctr"/>
        <c:lblOffset val="100"/>
        <c:noMultiLvlLbl val="0"/>
      </c:catAx>
      <c:valAx>
        <c:axId val="19201890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1884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190640"/>
        <c:axId val="1920196624"/>
      </c:lineChart>
      <c:catAx>
        <c:axId val="192019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196624"/>
        <c:crosses val="autoZero"/>
        <c:auto val="1"/>
        <c:lblAlgn val="ctr"/>
        <c:lblOffset val="100"/>
        <c:noMultiLvlLbl val="0"/>
      </c:catAx>
      <c:valAx>
        <c:axId val="19201966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1906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191184"/>
        <c:axId val="1920191728"/>
      </c:lineChart>
      <c:catAx>
        <c:axId val="192019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191728"/>
        <c:crosses val="autoZero"/>
        <c:auto val="1"/>
        <c:lblAlgn val="ctr"/>
        <c:lblOffset val="100"/>
        <c:noMultiLvlLbl val="0"/>
      </c:catAx>
      <c:valAx>
        <c:axId val="1920191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1911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5951952"/>
        <c:axId val="1885946512"/>
      </c:lineChart>
      <c:catAx>
        <c:axId val="188595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5946512"/>
        <c:crosses val="autoZero"/>
        <c:auto val="1"/>
        <c:lblAlgn val="ctr"/>
        <c:lblOffset val="100"/>
        <c:noMultiLvlLbl val="0"/>
      </c:catAx>
      <c:valAx>
        <c:axId val="18859465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59519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/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1846549758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82942779634614"/>
          <c:y val="9.9557370143547624E-2"/>
          <c:w val="0.7765295092284884"/>
          <c:h val="0.80442543447501413"/>
        </c:manualLayout>
      </c:layout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Ref>
              <c:f>'приложение 2.3'!$C$64:$AA$64</c:f>
              <c:numCache>
                <c:formatCode>#\ ##0.0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numCache>
            </c:numRef>
          </c:cat>
          <c:val>
            <c:numRef>
              <c:f>'приложение 2.3'!$C$77:$AA$77</c:f>
              <c:numCache>
                <c:formatCode>_(* #\ ##0_);_(* \(#\ ##0\);_(* "-"_);_(@_)</c:formatCode>
                <c:ptCount val="25"/>
                <c:pt idx="0">
                  <c:v>24198463.266856689</c:v>
                </c:pt>
                <c:pt idx="1">
                  <c:v>18324679.406881601</c:v>
                </c:pt>
                <c:pt idx="2">
                  <c:v>6686585.7335257046</c:v>
                </c:pt>
                <c:pt idx="3">
                  <c:v>-286925.74602610496</c:v>
                </c:pt>
                <c:pt idx="4">
                  <c:v>-4627162.5026732795</c:v>
                </c:pt>
                <c:pt idx="5">
                  <c:v>-3161159.6995709175</c:v>
                </c:pt>
                <c:pt idx="6">
                  <c:v>-1883226.706786359</c:v>
                </c:pt>
                <c:pt idx="7">
                  <c:v>-1669075.0292572863</c:v>
                </c:pt>
                <c:pt idx="8">
                  <c:v>-721162.53816638177</c:v>
                </c:pt>
                <c:pt idx="9">
                  <c:v>138003.40334687813</c:v>
                </c:pt>
                <c:pt idx="10">
                  <c:v>876613.71826735302</c:v>
                </c:pt>
                <c:pt idx="11">
                  <c:v>4169955.2026544055</c:v>
                </c:pt>
                <c:pt idx="12">
                  <c:v>3886375.9665487399</c:v>
                </c:pt>
                <c:pt idx="13">
                  <c:v>3388926.6613994786</c:v>
                </c:pt>
                <c:pt idx="14">
                  <c:v>3271620.12095092</c:v>
                </c:pt>
                <c:pt idx="15">
                  <c:v>3157619.3593093459</c:v>
                </c:pt>
                <c:pt idx="16">
                  <c:v>2836672.0290895505</c:v>
                </c:pt>
                <c:pt idx="17">
                  <c:v>2737359.7449519653</c:v>
                </c:pt>
                <c:pt idx="18">
                  <c:v>2641296.6182731707</c:v>
                </c:pt>
                <c:pt idx="19">
                  <c:v>2548394.9515525559</c:v>
                </c:pt>
                <c:pt idx="20">
                  <c:v>2458567.7883420032</c:v>
                </c:pt>
                <c:pt idx="21">
                  <c:v>2371729.0792416316</c:v>
                </c:pt>
                <c:pt idx="22">
                  <c:v>2287793.8267880981</c:v>
                </c:pt>
                <c:pt idx="23">
                  <c:v>2206678.2111753123</c:v>
                </c:pt>
                <c:pt idx="24">
                  <c:v>2128299.6985858721</c:v>
                </c:pt>
              </c:numCache>
            </c:numRef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Ref>
              <c:f>'приложение 2.3'!$C$64:$AA$64</c:f>
              <c:numCache>
                <c:formatCode>#\ ##0.0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numCache>
            </c:numRef>
          </c:cat>
          <c:val>
            <c:numRef>
              <c:f>'приложение 2.3'!$C$78:$AA$78</c:f>
              <c:numCache>
                <c:formatCode>_(* #\ ##0_);_(* \(#\ ##0\);_(* "-"_);_(@_)</c:formatCode>
                <c:ptCount val="25"/>
                <c:pt idx="0">
                  <c:v>-46021536.733143315</c:v>
                </c:pt>
                <c:pt idx="1">
                  <c:v>-27696857.326261714</c:v>
                </c:pt>
                <c:pt idx="2">
                  <c:v>-21010271.59273601</c:v>
                </c:pt>
                <c:pt idx="3">
                  <c:v>-21297197.338762116</c:v>
                </c:pt>
                <c:pt idx="4">
                  <c:v>-25924359.841435395</c:v>
                </c:pt>
                <c:pt idx="5">
                  <c:v>-29085519.541006312</c:v>
                </c:pt>
                <c:pt idx="6">
                  <c:v>-30968746.247792672</c:v>
                </c:pt>
                <c:pt idx="7">
                  <c:v>-32637821.277049959</c:v>
                </c:pt>
                <c:pt idx="8">
                  <c:v>-33358983.81521634</c:v>
                </c:pt>
                <c:pt idx="9">
                  <c:v>-33220980.411869463</c:v>
                </c:pt>
                <c:pt idx="10">
                  <c:v>-32344366.693602111</c:v>
                </c:pt>
                <c:pt idx="11">
                  <c:v>-28174411.490947705</c:v>
                </c:pt>
                <c:pt idx="12">
                  <c:v>-24288035.524398964</c:v>
                </c:pt>
                <c:pt idx="13">
                  <c:v>-20899108.862999484</c:v>
                </c:pt>
                <c:pt idx="14">
                  <c:v>-17627488.742048565</c:v>
                </c:pt>
                <c:pt idx="15">
                  <c:v>-14469869.38273922</c:v>
                </c:pt>
                <c:pt idx="16">
                  <c:v>-11633197.353649668</c:v>
                </c:pt>
                <c:pt idx="17">
                  <c:v>-8895837.6086977031</c:v>
                </c:pt>
                <c:pt idx="18">
                  <c:v>-6254540.9904245324</c:v>
                </c:pt>
                <c:pt idx="19">
                  <c:v>-3706146.0388719765</c:v>
                </c:pt>
                <c:pt idx="20">
                  <c:v>-1247578.2505299733</c:v>
                </c:pt>
                <c:pt idx="21">
                  <c:v>1124150.8287116583</c:v>
                </c:pt>
                <c:pt idx="22">
                  <c:v>3411944.6554997563</c:v>
                </c:pt>
                <c:pt idx="23">
                  <c:v>5618622.8666750686</c:v>
                </c:pt>
                <c:pt idx="24">
                  <c:v>7746922.5652609412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197168"/>
        <c:axId val="1920194992"/>
      </c:lineChart>
      <c:catAx>
        <c:axId val="1920197168"/>
        <c:scaling>
          <c:orientation val="minMax"/>
        </c:scaling>
        <c:delete val="0"/>
        <c:axPos val="b"/>
        <c:numFmt formatCode="#\ ##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194992"/>
        <c:crosses val="autoZero"/>
        <c:auto val="1"/>
        <c:lblAlgn val="ctr"/>
        <c:lblOffset val="100"/>
        <c:noMultiLvlLbl val="0"/>
      </c:catAx>
      <c:valAx>
        <c:axId val="1920194992"/>
        <c:scaling>
          <c:orientation val="minMax"/>
        </c:scaling>
        <c:delete val="0"/>
        <c:axPos val="l"/>
        <c:majorGridlines/>
        <c:numFmt formatCode="_(* #\ ##0_);_(* \(#\ ##0\);_(* &quot;-&quot;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01971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1578421578421578"/>
          <c:y val="0.89019948758994938"/>
          <c:w val="0.66433566433566438"/>
          <c:h val="7.8431672915414044E-2"/>
        </c:manualLayout>
      </c:layout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/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1846549758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82942779634614"/>
          <c:y val="9.9557370143547624E-2"/>
          <c:w val="0.7765295092284884"/>
          <c:h val="0.80442543447501413"/>
        </c:manualLayout>
      </c:layout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Ref>
              <c:f>'приложение 2.3'!$C$64:$AA$64</c:f>
              <c:numCache>
                <c:formatCode>#\ ##0.0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numCache>
            </c:numRef>
          </c:cat>
          <c:val>
            <c:numRef>
              <c:f>'приложение 2.3'!$C$77:$AA$77</c:f>
              <c:numCache>
                <c:formatCode>_(* #\ ##0_);_(* \(#\ ##0\);_(* "-"_);_(@_)</c:formatCode>
                <c:ptCount val="25"/>
                <c:pt idx="0">
                  <c:v>24198463.266856689</c:v>
                </c:pt>
                <c:pt idx="1">
                  <c:v>18324679.406881601</c:v>
                </c:pt>
                <c:pt idx="2">
                  <c:v>6686585.7335257046</c:v>
                </c:pt>
                <c:pt idx="3">
                  <c:v>-286925.74602610496</c:v>
                </c:pt>
                <c:pt idx="4">
                  <c:v>-4627162.5026732795</c:v>
                </c:pt>
                <c:pt idx="5">
                  <c:v>-3161159.6995709175</c:v>
                </c:pt>
                <c:pt idx="6">
                  <c:v>-1883226.706786359</c:v>
                </c:pt>
                <c:pt idx="7">
                  <c:v>-1669075.0292572863</c:v>
                </c:pt>
                <c:pt idx="8">
                  <c:v>-721162.53816638177</c:v>
                </c:pt>
                <c:pt idx="9">
                  <c:v>138003.40334687813</c:v>
                </c:pt>
                <c:pt idx="10">
                  <c:v>876613.71826735302</c:v>
                </c:pt>
                <c:pt idx="11">
                  <c:v>4169955.2026544055</c:v>
                </c:pt>
                <c:pt idx="12">
                  <c:v>3886375.9665487399</c:v>
                </c:pt>
                <c:pt idx="13">
                  <c:v>3388926.6613994786</c:v>
                </c:pt>
                <c:pt idx="14">
                  <c:v>3271620.12095092</c:v>
                </c:pt>
                <c:pt idx="15">
                  <c:v>3157619.3593093459</c:v>
                </c:pt>
                <c:pt idx="16">
                  <c:v>2836672.0290895505</c:v>
                </c:pt>
                <c:pt idx="17">
                  <c:v>2737359.7449519653</c:v>
                </c:pt>
                <c:pt idx="18">
                  <c:v>2641296.6182731707</c:v>
                </c:pt>
                <c:pt idx="19">
                  <c:v>2548394.9515525559</c:v>
                </c:pt>
                <c:pt idx="20">
                  <c:v>2458567.7883420032</c:v>
                </c:pt>
                <c:pt idx="21">
                  <c:v>2371729.0792416316</c:v>
                </c:pt>
                <c:pt idx="22">
                  <c:v>2287793.8267880981</c:v>
                </c:pt>
                <c:pt idx="23">
                  <c:v>2206678.2111753123</c:v>
                </c:pt>
                <c:pt idx="24">
                  <c:v>2128299.6985858721</c:v>
                </c:pt>
              </c:numCache>
            </c:numRef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Ref>
              <c:f>'приложение 2.3'!$C$64:$AA$64</c:f>
              <c:numCache>
                <c:formatCode>#\ ##0.0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numCache>
            </c:numRef>
          </c:cat>
          <c:val>
            <c:numRef>
              <c:f>'приложение 2.3'!$C$78:$AA$78</c:f>
              <c:numCache>
                <c:formatCode>_(* #\ ##0_);_(* \(#\ ##0\);_(* "-"_);_(@_)</c:formatCode>
                <c:ptCount val="25"/>
                <c:pt idx="0">
                  <c:v>-46021536.733143315</c:v>
                </c:pt>
                <c:pt idx="1">
                  <c:v>-27696857.326261714</c:v>
                </c:pt>
                <c:pt idx="2">
                  <c:v>-21010271.59273601</c:v>
                </c:pt>
                <c:pt idx="3">
                  <c:v>-21297197.338762116</c:v>
                </c:pt>
                <c:pt idx="4">
                  <c:v>-25924359.841435395</c:v>
                </c:pt>
                <c:pt idx="5">
                  <c:v>-29085519.541006312</c:v>
                </c:pt>
                <c:pt idx="6">
                  <c:v>-30968746.247792672</c:v>
                </c:pt>
                <c:pt idx="7">
                  <c:v>-32637821.277049959</c:v>
                </c:pt>
                <c:pt idx="8">
                  <c:v>-33358983.81521634</c:v>
                </c:pt>
                <c:pt idx="9">
                  <c:v>-33220980.411869463</c:v>
                </c:pt>
                <c:pt idx="10">
                  <c:v>-32344366.693602111</c:v>
                </c:pt>
                <c:pt idx="11">
                  <c:v>-28174411.490947705</c:v>
                </c:pt>
                <c:pt idx="12">
                  <c:v>-24288035.524398964</c:v>
                </c:pt>
                <c:pt idx="13">
                  <c:v>-20899108.862999484</c:v>
                </c:pt>
                <c:pt idx="14">
                  <c:v>-17627488.742048565</c:v>
                </c:pt>
                <c:pt idx="15">
                  <c:v>-14469869.38273922</c:v>
                </c:pt>
                <c:pt idx="16">
                  <c:v>-11633197.353649668</c:v>
                </c:pt>
                <c:pt idx="17">
                  <c:v>-8895837.6086977031</c:v>
                </c:pt>
                <c:pt idx="18">
                  <c:v>-6254540.9904245324</c:v>
                </c:pt>
                <c:pt idx="19">
                  <c:v>-3706146.0388719765</c:v>
                </c:pt>
                <c:pt idx="20">
                  <c:v>-1247578.2505299733</c:v>
                </c:pt>
                <c:pt idx="21">
                  <c:v>1124150.8287116583</c:v>
                </c:pt>
                <c:pt idx="22">
                  <c:v>3411944.6554997563</c:v>
                </c:pt>
                <c:pt idx="23">
                  <c:v>5618622.8666750686</c:v>
                </c:pt>
                <c:pt idx="24">
                  <c:v>7746922.5652609412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4808672"/>
        <c:axId val="1924810848"/>
      </c:lineChart>
      <c:catAx>
        <c:axId val="1924808672"/>
        <c:scaling>
          <c:orientation val="minMax"/>
        </c:scaling>
        <c:delete val="0"/>
        <c:axPos val="b"/>
        <c:numFmt formatCode="#\ ##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4810848"/>
        <c:crosses val="autoZero"/>
        <c:auto val="1"/>
        <c:lblAlgn val="ctr"/>
        <c:lblOffset val="100"/>
        <c:noMultiLvlLbl val="0"/>
      </c:catAx>
      <c:valAx>
        <c:axId val="1924810848"/>
        <c:scaling>
          <c:orientation val="minMax"/>
        </c:scaling>
        <c:delete val="0"/>
        <c:axPos val="l"/>
        <c:majorGridlines/>
        <c:numFmt formatCode="_(* #\ ##0_);_(* \(#\ ##0\);_(* &quot;-&quot;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9248086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1578421578421578"/>
          <c:y val="0.89019948758994938"/>
          <c:w val="0.66433566433566438"/>
          <c:h val="7.8431672915414044E-2"/>
        </c:manualLayout>
      </c:layout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5956304"/>
        <c:axId val="1885963376"/>
      </c:lineChart>
      <c:catAx>
        <c:axId val="188595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5963376"/>
        <c:crosses val="autoZero"/>
        <c:auto val="1"/>
        <c:lblAlgn val="ctr"/>
        <c:lblOffset val="100"/>
        <c:noMultiLvlLbl val="0"/>
      </c:catAx>
      <c:valAx>
        <c:axId val="18859633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59563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5964464"/>
        <c:axId val="1885957936"/>
      </c:lineChart>
      <c:catAx>
        <c:axId val="188596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5957936"/>
        <c:crosses val="autoZero"/>
        <c:auto val="1"/>
        <c:lblAlgn val="ctr"/>
        <c:lblOffset val="100"/>
        <c:noMultiLvlLbl val="0"/>
      </c:catAx>
      <c:valAx>
        <c:axId val="18859579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59644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5948144"/>
        <c:axId val="1885962288"/>
      </c:lineChart>
      <c:catAx>
        <c:axId val="188594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5962288"/>
        <c:crosses val="autoZero"/>
        <c:auto val="1"/>
        <c:lblAlgn val="ctr"/>
        <c:lblOffset val="100"/>
        <c:noMultiLvlLbl val="0"/>
      </c:catAx>
      <c:valAx>
        <c:axId val="1885962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59481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5966096"/>
        <c:axId val="1885949776"/>
      </c:lineChart>
      <c:catAx>
        <c:axId val="188596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5949776"/>
        <c:crosses val="autoZero"/>
        <c:auto val="1"/>
        <c:lblAlgn val="ctr"/>
        <c:lblOffset val="100"/>
        <c:noMultiLvlLbl val="0"/>
      </c:catAx>
      <c:valAx>
        <c:axId val="18859497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59660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5967728"/>
        <c:axId val="1885972080"/>
      </c:lineChart>
      <c:catAx>
        <c:axId val="188596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5972080"/>
        <c:crosses val="autoZero"/>
        <c:auto val="1"/>
        <c:lblAlgn val="ctr"/>
        <c:lblOffset val="100"/>
        <c:noMultiLvlLbl val="0"/>
      </c:catAx>
      <c:valAx>
        <c:axId val="18859720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59677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5974800"/>
        <c:axId val="1885967184"/>
      </c:lineChart>
      <c:catAx>
        <c:axId val="188597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5967184"/>
        <c:crosses val="autoZero"/>
        <c:auto val="1"/>
        <c:lblAlgn val="ctr"/>
        <c:lblOffset val="100"/>
        <c:noMultiLvlLbl val="0"/>
      </c:catAx>
      <c:valAx>
        <c:axId val="1885967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59748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5978064"/>
        <c:axId val="1885968816"/>
      </c:lineChart>
      <c:catAx>
        <c:axId val="188597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5968816"/>
        <c:crosses val="autoZero"/>
        <c:auto val="1"/>
        <c:lblAlgn val="ctr"/>
        <c:lblOffset val="100"/>
        <c:noMultiLvlLbl val="0"/>
      </c:catAx>
      <c:valAx>
        <c:axId val="18859688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59780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5971536"/>
        <c:axId val="1885969904"/>
      </c:lineChart>
      <c:catAx>
        <c:axId val="188597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5969904"/>
        <c:crosses val="autoZero"/>
        <c:auto val="1"/>
        <c:lblAlgn val="ctr"/>
        <c:lblOffset val="100"/>
        <c:noMultiLvlLbl val="0"/>
      </c:catAx>
      <c:valAx>
        <c:axId val="18859699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59715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8697296"/>
        <c:axId val="1828693488"/>
      </c:lineChart>
      <c:catAx>
        <c:axId val="182869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28693488"/>
        <c:crosses val="autoZero"/>
        <c:auto val="1"/>
        <c:lblAlgn val="ctr"/>
        <c:lblOffset val="100"/>
        <c:noMultiLvlLbl val="0"/>
      </c:catAx>
      <c:valAx>
        <c:axId val="18286934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286972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5973712"/>
        <c:axId val="1885974256"/>
      </c:lineChart>
      <c:catAx>
        <c:axId val="188597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5974256"/>
        <c:crosses val="autoZero"/>
        <c:auto val="1"/>
        <c:lblAlgn val="ctr"/>
        <c:lblOffset val="100"/>
        <c:noMultiLvlLbl val="0"/>
      </c:catAx>
      <c:valAx>
        <c:axId val="18859742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59737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7155968"/>
        <c:axId val="1887161408"/>
      </c:lineChart>
      <c:catAx>
        <c:axId val="188715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7161408"/>
        <c:crosses val="autoZero"/>
        <c:auto val="1"/>
        <c:lblAlgn val="ctr"/>
        <c:lblOffset val="100"/>
        <c:noMultiLvlLbl val="0"/>
      </c:catAx>
      <c:valAx>
        <c:axId val="18871614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71559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7162496"/>
        <c:axId val="1887161952"/>
      </c:lineChart>
      <c:catAx>
        <c:axId val="188716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7161952"/>
        <c:crosses val="autoZero"/>
        <c:auto val="1"/>
        <c:lblAlgn val="ctr"/>
        <c:lblOffset val="100"/>
        <c:noMultiLvlLbl val="0"/>
      </c:catAx>
      <c:valAx>
        <c:axId val="18871619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71624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7152160"/>
        <c:axId val="1887158144"/>
      </c:lineChart>
      <c:catAx>
        <c:axId val="188715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7158144"/>
        <c:crosses val="autoZero"/>
        <c:auto val="1"/>
        <c:lblAlgn val="ctr"/>
        <c:lblOffset val="100"/>
        <c:noMultiLvlLbl val="0"/>
      </c:catAx>
      <c:valAx>
        <c:axId val="18871581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71521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7155424"/>
        <c:axId val="1887147808"/>
      </c:lineChart>
      <c:catAx>
        <c:axId val="188715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7147808"/>
        <c:crosses val="autoZero"/>
        <c:auto val="1"/>
        <c:lblAlgn val="ctr"/>
        <c:lblOffset val="100"/>
        <c:noMultiLvlLbl val="0"/>
      </c:catAx>
      <c:valAx>
        <c:axId val="18871478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71554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7160864"/>
        <c:axId val="1887149440"/>
      </c:lineChart>
      <c:catAx>
        <c:axId val="188716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7149440"/>
        <c:crosses val="autoZero"/>
        <c:auto val="1"/>
        <c:lblAlgn val="ctr"/>
        <c:lblOffset val="100"/>
        <c:noMultiLvlLbl val="0"/>
      </c:catAx>
      <c:valAx>
        <c:axId val="18871494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71608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7157600"/>
        <c:axId val="1887151072"/>
      </c:lineChart>
      <c:catAx>
        <c:axId val="188715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7151072"/>
        <c:crosses val="autoZero"/>
        <c:auto val="1"/>
        <c:lblAlgn val="ctr"/>
        <c:lblOffset val="100"/>
        <c:noMultiLvlLbl val="0"/>
      </c:catAx>
      <c:valAx>
        <c:axId val="18871510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71576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7158688"/>
        <c:axId val="1887153248"/>
      </c:lineChart>
      <c:catAx>
        <c:axId val="188715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7153248"/>
        <c:crosses val="autoZero"/>
        <c:auto val="1"/>
        <c:lblAlgn val="ctr"/>
        <c:lblOffset val="100"/>
        <c:noMultiLvlLbl val="0"/>
      </c:catAx>
      <c:valAx>
        <c:axId val="18871532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71586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7150528"/>
        <c:axId val="1887164128"/>
      </c:lineChart>
      <c:catAx>
        <c:axId val="188715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7164128"/>
        <c:crosses val="autoZero"/>
        <c:auto val="1"/>
        <c:lblAlgn val="ctr"/>
        <c:lblOffset val="100"/>
        <c:noMultiLvlLbl val="0"/>
      </c:catAx>
      <c:valAx>
        <c:axId val="18871641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71505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7151616"/>
        <c:axId val="1887160320"/>
      </c:lineChart>
      <c:catAx>
        <c:axId val="188715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7160320"/>
        <c:crosses val="autoZero"/>
        <c:auto val="1"/>
        <c:lblAlgn val="ctr"/>
        <c:lblOffset val="100"/>
        <c:noMultiLvlLbl val="0"/>
      </c:catAx>
      <c:valAx>
        <c:axId val="18871603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71516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8706000"/>
        <c:axId val="1828698928"/>
      </c:lineChart>
      <c:catAx>
        <c:axId val="182870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28698928"/>
        <c:crosses val="autoZero"/>
        <c:auto val="1"/>
        <c:lblAlgn val="ctr"/>
        <c:lblOffset val="100"/>
        <c:noMultiLvlLbl val="0"/>
      </c:catAx>
      <c:valAx>
        <c:axId val="18286989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287060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7166304"/>
        <c:axId val="1887149984"/>
      </c:lineChart>
      <c:catAx>
        <c:axId val="188716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7149984"/>
        <c:crosses val="autoZero"/>
        <c:auto val="1"/>
        <c:lblAlgn val="ctr"/>
        <c:lblOffset val="100"/>
        <c:noMultiLvlLbl val="0"/>
      </c:catAx>
      <c:valAx>
        <c:axId val="18871499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71663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7171200"/>
        <c:axId val="1887175552"/>
      </c:lineChart>
      <c:catAx>
        <c:axId val="188717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7175552"/>
        <c:crosses val="autoZero"/>
        <c:auto val="1"/>
        <c:lblAlgn val="ctr"/>
        <c:lblOffset val="100"/>
        <c:noMultiLvlLbl val="0"/>
      </c:catAx>
      <c:valAx>
        <c:axId val="18871755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71712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7177184"/>
        <c:axId val="1887169568"/>
      </c:lineChart>
      <c:catAx>
        <c:axId val="188717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7169568"/>
        <c:crosses val="autoZero"/>
        <c:auto val="1"/>
        <c:lblAlgn val="ctr"/>
        <c:lblOffset val="100"/>
        <c:noMultiLvlLbl val="0"/>
      </c:catAx>
      <c:valAx>
        <c:axId val="18871695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71771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7169024"/>
        <c:axId val="1887170112"/>
      </c:lineChart>
      <c:catAx>
        <c:axId val="188716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7170112"/>
        <c:crosses val="autoZero"/>
        <c:auto val="1"/>
        <c:lblAlgn val="ctr"/>
        <c:lblOffset val="100"/>
        <c:noMultiLvlLbl val="0"/>
      </c:catAx>
      <c:valAx>
        <c:axId val="18871701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71690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7172288"/>
        <c:axId val="1887172832"/>
      </c:lineChart>
      <c:catAx>
        <c:axId val="188717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7172832"/>
        <c:crosses val="autoZero"/>
        <c:auto val="1"/>
        <c:lblAlgn val="ctr"/>
        <c:lblOffset val="100"/>
        <c:noMultiLvlLbl val="0"/>
      </c:catAx>
      <c:valAx>
        <c:axId val="18871728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71722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7175008"/>
        <c:axId val="1887176096"/>
      </c:lineChart>
      <c:catAx>
        <c:axId val="188717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7176096"/>
        <c:crosses val="autoZero"/>
        <c:auto val="1"/>
        <c:lblAlgn val="ctr"/>
        <c:lblOffset val="100"/>
        <c:noMultiLvlLbl val="0"/>
      </c:catAx>
      <c:valAx>
        <c:axId val="18871760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7175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8563632"/>
        <c:axId val="1888559824"/>
      </c:lineChart>
      <c:catAx>
        <c:axId val="188856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8559824"/>
        <c:crosses val="autoZero"/>
        <c:auto val="1"/>
        <c:lblAlgn val="ctr"/>
        <c:lblOffset val="100"/>
        <c:noMultiLvlLbl val="0"/>
      </c:catAx>
      <c:valAx>
        <c:axId val="18885598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85636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8568528"/>
        <c:axId val="1888566896"/>
      </c:lineChart>
      <c:catAx>
        <c:axId val="1888568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8566896"/>
        <c:crosses val="autoZero"/>
        <c:auto val="1"/>
        <c:lblAlgn val="ctr"/>
        <c:lblOffset val="100"/>
        <c:noMultiLvlLbl val="0"/>
      </c:catAx>
      <c:valAx>
        <c:axId val="18885668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85685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8562544"/>
        <c:axId val="1888571792"/>
      </c:lineChart>
      <c:catAx>
        <c:axId val="188856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8571792"/>
        <c:crosses val="autoZero"/>
        <c:auto val="1"/>
        <c:lblAlgn val="ctr"/>
        <c:lblOffset val="100"/>
        <c:noMultiLvlLbl val="0"/>
      </c:catAx>
      <c:valAx>
        <c:axId val="18885717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85625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8563088"/>
        <c:axId val="1888574512"/>
      </c:lineChart>
      <c:catAx>
        <c:axId val="188856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8574512"/>
        <c:crosses val="autoZero"/>
        <c:auto val="1"/>
        <c:lblAlgn val="ctr"/>
        <c:lblOffset val="100"/>
        <c:noMultiLvlLbl val="0"/>
      </c:catAx>
      <c:valAx>
        <c:axId val="18885745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85630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8702192"/>
        <c:axId val="1828702736"/>
      </c:lineChart>
      <c:catAx>
        <c:axId val="182870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28702736"/>
        <c:crosses val="autoZero"/>
        <c:auto val="1"/>
        <c:lblAlgn val="ctr"/>
        <c:lblOffset val="100"/>
        <c:noMultiLvlLbl val="0"/>
      </c:catAx>
      <c:valAx>
        <c:axId val="1828702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287021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8560368"/>
        <c:axId val="1888570704"/>
      </c:lineChart>
      <c:catAx>
        <c:axId val="188856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8570704"/>
        <c:crosses val="autoZero"/>
        <c:auto val="1"/>
        <c:lblAlgn val="ctr"/>
        <c:lblOffset val="100"/>
        <c:noMultiLvlLbl val="0"/>
      </c:catAx>
      <c:valAx>
        <c:axId val="1888570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85603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8559280"/>
        <c:axId val="1888576144"/>
      </c:lineChart>
      <c:catAx>
        <c:axId val="188855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8576144"/>
        <c:crosses val="autoZero"/>
        <c:auto val="1"/>
        <c:lblAlgn val="ctr"/>
        <c:lblOffset val="100"/>
        <c:noMultiLvlLbl val="0"/>
      </c:catAx>
      <c:valAx>
        <c:axId val="18885761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85592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8577232"/>
        <c:axId val="1888573424"/>
      </c:lineChart>
      <c:catAx>
        <c:axId val="188857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8573424"/>
        <c:crosses val="autoZero"/>
        <c:auto val="1"/>
        <c:lblAlgn val="ctr"/>
        <c:lblOffset val="100"/>
        <c:noMultiLvlLbl val="0"/>
      </c:catAx>
      <c:valAx>
        <c:axId val="18885734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85772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8573968"/>
        <c:axId val="1888577776"/>
      </c:lineChart>
      <c:catAx>
        <c:axId val="188857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8577776"/>
        <c:crosses val="autoZero"/>
        <c:auto val="1"/>
        <c:lblAlgn val="ctr"/>
        <c:lblOffset val="100"/>
        <c:noMultiLvlLbl val="0"/>
      </c:catAx>
      <c:valAx>
        <c:axId val="18885777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85739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8567984"/>
        <c:axId val="1888576688"/>
      </c:lineChart>
      <c:catAx>
        <c:axId val="188856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8576688"/>
        <c:crosses val="autoZero"/>
        <c:auto val="1"/>
        <c:lblAlgn val="ctr"/>
        <c:lblOffset val="100"/>
        <c:noMultiLvlLbl val="0"/>
      </c:catAx>
      <c:valAx>
        <c:axId val="18885766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85679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8579952"/>
        <c:axId val="1888580496"/>
      </c:lineChart>
      <c:catAx>
        <c:axId val="188857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8580496"/>
        <c:crosses val="autoZero"/>
        <c:auto val="1"/>
        <c:lblAlgn val="ctr"/>
        <c:lblOffset val="100"/>
        <c:noMultiLvlLbl val="0"/>
      </c:catAx>
      <c:valAx>
        <c:axId val="18885804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85799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8581584"/>
        <c:axId val="1888565264"/>
      </c:lineChart>
      <c:catAx>
        <c:axId val="188858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8565264"/>
        <c:crosses val="autoZero"/>
        <c:auto val="1"/>
        <c:lblAlgn val="ctr"/>
        <c:lblOffset val="100"/>
        <c:noMultiLvlLbl val="0"/>
      </c:catAx>
      <c:valAx>
        <c:axId val="18885652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85815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8582672"/>
        <c:axId val="1888583216"/>
      </c:lineChart>
      <c:catAx>
        <c:axId val="188858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8583216"/>
        <c:crosses val="autoZero"/>
        <c:auto val="1"/>
        <c:lblAlgn val="ctr"/>
        <c:lblOffset val="100"/>
        <c:noMultiLvlLbl val="0"/>
      </c:catAx>
      <c:valAx>
        <c:axId val="18885832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85826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8586480"/>
        <c:axId val="1888584304"/>
      </c:lineChart>
      <c:catAx>
        <c:axId val="188858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8584304"/>
        <c:crosses val="autoZero"/>
        <c:auto val="1"/>
        <c:lblAlgn val="ctr"/>
        <c:lblOffset val="100"/>
        <c:noMultiLvlLbl val="0"/>
      </c:catAx>
      <c:valAx>
        <c:axId val="18885843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85864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8591376"/>
        <c:axId val="1888585936"/>
      </c:lineChart>
      <c:catAx>
        <c:axId val="188859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8585936"/>
        <c:crosses val="autoZero"/>
        <c:auto val="1"/>
        <c:lblAlgn val="ctr"/>
        <c:lblOffset val="100"/>
        <c:noMultiLvlLbl val="0"/>
      </c:catAx>
      <c:valAx>
        <c:axId val="18885859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85913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8704368"/>
        <c:axId val="1828696208"/>
      </c:lineChart>
      <c:catAx>
        <c:axId val="182870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28696208"/>
        <c:crosses val="autoZero"/>
        <c:auto val="1"/>
        <c:lblAlgn val="ctr"/>
        <c:lblOffset val="100"/>
        <c:noMultiLvlLbl val="0"/>
      </c:catAx>
      <c:valAx>
        <c:axId val="18286962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287043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8587568"/>
        <c:axId val="1888588112"/>
      </c:lineChart>
      <c:catAx>
        <c:axId val="188858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8588112"/>
        <c:crosses val="autoZero"/>
        <c:auto val="1"/>
        <c:lblAlgn val="ctr"/>
        <c:lblOffset val="100"/>
        <c:noMultiLvlLbl val="0"/>
      </c:catAx>
      <c:valAx>
        <c:axId val="18885881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885875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0160704"/>
        <c:axId val="1890167232"/>
      </c:lineChart>
      <c:catAx>
        <c:axId val="189016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0167232"/>
        <c:crosses val="autoZero"/>
        <c:auto val="1"/>
        <c:lblAlgn val="ctr"/>
        <c:lblOffset val="100"/>
        <c:noMultiLvlLbl val="0"/>
      </c:catAx>
      <c:valAx>
        <c:axId val="18901672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01607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0154176"/>
        <c:axId val="1890153632"/>
      </c:lineChart>
      <c:catAx>
        <c:axId val="189015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0153632"/>
        <c:crosses val="autoZero"/>
        <c:auto val="1"/>
        <c:lblAlgn val="ctr"/>
        <c:lblOffset val="100"/>
        <c:noMultiLvlLbl val="0"/>
      </c:catAx>
      <c:valAx>
        <c:axId val="18901536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01541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0154720"/>
        <c:axId val="1890160160"/>
      </c:lineChart>
      <c:catAx>
        <c:axId val="189015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0160160"/>
        <c:crosses val="autoZero"/>
        <c:auto val="1"/>
        <c:lblAlgn val="ctr"/>
        <c:lblOffset val="100"/>
        <c:noMultiLvlLbl val="0"/>
      </c:catAx>
      <c:valAx>
        <c:axId val="18901601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01547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0165600"/>
        <c:axId val="1890163968"/>
      </c:lineChart>
      <c:catAx>
        <c:axId val="189016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0163968"/>
        <c:crosses val="autoZero"/>
        <c:auto val="1"/>
        <c:lblAlgn val="ctr"/>
        <c:lblOffset val="100"/>
        <c:noMultiLvlLbl val="0"/>
      </c:catAx>
      <c:valAx>
        <c:axId val="18901639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01656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0157984"/>
        <c:axId val="1890167776"/>
      </c:lineChart>
      <c:catAx>
        <c:axId val="189015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0167776"/>
        <c:crosses val="autoZero"/>
        <c:auto val="1"/>
        <c:lblAlgn val="ctr"/>
        <c:lblOffset val="100"/>
        <c:noMultiLvlLbl val="0"/>
      </c:catAx>
      <c:valAx>
        <c:axId val="18901677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01579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0156352"/>
        <c:axId val="1890155808"/>
      </c:lineChart>
      <c:catAx>
        <c:axId val="189015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0155808"/>
        <c:crosses val="autoZero"/>
        <c:auto val="1"/>
        <c:lblAlgn val="ctr"/>
        <c:lblOffset val="100"/>
        <c:noMultiLvlLbl val="0"/>
      </c:catAx>
      <c:valAx>
        <c:axId val="18901558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01563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0157440"/>
        <c:axId val="1890165056"/>
      </c:lineChart>
      <c:catAx>
        <c:axId val="189015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0165056"/>
        <c:crosses val="autoZero"/>
        <c:auto val="1"/>
        <c:lblAlgn val="ctr"/>
        <c:lblOffset val="100"/>
        <c:noMultiLvlLbl val="0"/>
      </c:catAx>
      <c:valAx>
        <c:axId val="18901650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01574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0168320"/>
        <c:axId val="1890156896"/>
      </c:lineChart>
      <c:catAx>
        <c:axId val="189016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0156896"/>
        <c:crosses val="autoZero"/>
        <c:auto val="1"/>
        <c:lblAlgn val="ctr"/>
        <c:lblOffset val="100"/>
        <c:noMultiLvlLbl val="0"/>
      </c:catAx>
      <c:valAx>
        <c:axId val="18901568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01683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0173216"/>
        <c:axId val="1890172128"/>
      </c:lineChart>
      <c:catAx>
        <c:axId val="189017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0172128"/>
        <c:crosses val="autoZero"/>
        <c:auto val="1"/>
        <c:lblAlgn val="ctr"/>
        <c:lblOffset val="100"/>
        <c:noMultiLvlLbl val="0"/>
      </c:catAx>
      <c:valAx>
        <c:axId val="18901721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901732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7.xml"/><Relationship Id="rId299" Type="http://schemas.openxmlformats.org/officeDocument/2006/relationships/chart" Target="../charts/chart299.xml"/><Relationship Id="rId21" Type="http://schemas.openxmlformats.org/officeDocument/2006/relationships/chart" Target="../charts/chart21.xml"/><Relationship Id="rId63" Type="http://schemas.openxmlformats.org/officeDocument/2006/relationships/chart" Target="../charts/chart63.xml"/><Relationship Id="rId159" Type="http://schemas.openxmlformats.org/officeDocument/2006/relationships/chart" Target="../charts/chart159.xml"/><Relationship Id="rId324" Type="http://schemas.openxmlformats.org/officeDocument/2006/relationships/chart" Target="../charts/chart324.xml"/><Relationship Id="rId366" Type="http://schemas.openxmlformats.org/officeDocument/2006/relationships/chart" Target="../charts/chart366.xml"/><Relationship Id="rId170" Type="http://schemas.openxmlformats.org/officeDocument/2006/relationships/chart" Target="../charts/chart170.xml"/><Relationship Id="rId226" Type="http://schemas.openxmlformats.org/officeDocument/2006/relationships/chart" Target="../charts/chart226.xml"/><Relationship Id="rId433" Type="http://schemas.openxmlformats.org/officeDocument/2006/relationships/chart" Target="../charts/chart433.xml"/><Relationship Id="rId268" Type="http://schemas.openxmlformats.org/officeDocument/2006/relationships/chart" Target="../charts/chart268.xml"/><Relationship Id="rId475" Type="http://schemas.openxmlformats.org/officeDocument/2006/relationships/chart" Target="../charts/chart475.xml"/><Relationship Id="rId32" Type="http://schemas.openxmlformats.org/officeDocument/2006/relationships/chart" Target="../charts/chart32.xml"/><Relationship Id="rId74" Type="http://schemas.openxmlformats.org/officeDocument/2006/relationships/chart" Target="../charts/chart74.xml"/><Relationship Id="rId128" Type="http://schemas.openxmlformats.org/officeDocument/2006/relationships/chart" Target="../charts/chart128.xml"/><Relationship Id="rId335" Type="http://schemas.openxmlformats.org/officeDocument/2006/relationships/chart" Target="../charts/chart335.xml"/><Relationship Id="rId377" Type="http://schemas.openxmlformats.org/officeDocument/2006/relationships/chart" Target="../charts/chart377.xml"/><Relationship Id="rId500" Type="http://schemas.openxmlformats.org/officeDocument/2006/relationships/chart" Target="../charts/chart500.xml"/><Relationship Id="rId5" Type="http://schemas.openxmlformats.org/officeDocument/2006/relationships/chart" Target="../charts/chart5.xml"/><Relationship Id="rId181" Type="http://schemas.openxmlformats.org/officeDocument/2006/relationships/chart" Target="../charts/chart181.xml"/><Relationship Id="rId237" Type="http://schemas.openxmlformats.org/officeDocument/2006/relationships/chart" Target="../charts/chart237.xml"/><Relationship Id="rId402" Type="http://schemas.openxmlformats.org/officeDocument/2006/relationships/chart" Target="../charts/chart402.xml"/><Relationship Id="rId279" Type="http://schemas.openxmlformats.org/officeDocument/2006/relationships/chart" Target="../charts/chart279.xml"/><Relationship Id="rId444" Type="http://schemas.openxmlformats.org/officeDocument/2006/relationships/chart" Target="../charts/chart444.xml"/><Relationship Id="rId486" Type="http://schemas.openxmlformats.org/officeDocument/2006/relationships/chart" Target="../charts/chart486.xml"/><Relationship Id="rId43" Type="http://schemas.openxmlformats.org/officeDocument/2006/relationships/chart" Target="../charts/chart43.xml"/><Relationship Id="rId139" Type="http://schemas.openxmlformats.org/officeDocument/2006/relationships/chart" Target="../charts/chart139.xml"/><Relationship Id="rId290" Type="http://schemas.openxmlformats.org/officeDocument/2006/relationships/chart" Target="../charts/chart290.xml"/><Relationship Id="rId304" Type="http://schemas.openxmlformats.org/officeDocument/2006/relationships/chart" Target="../charts/chart304.xml"/><Relationship Id="rId346" Type="http://schemas.openxmlformats.org/officeDocument/2006/relationships/chart" Target="../charts/chart346.xml"/><Relationship Id="rId388" Type="http://schemas.openxmlformats.org/officeDocument/2006/relationships/chart" Target="../charts/chart388.xml"/><Relationship Id="rId511" Type="http://schemas.openxmlformats.org/officeDocument/2006/relationships/chart" Target="../charts/chart511.xml"/><Relationship Id="rId85" Type="http://schemas.openxmlformats.org/officeDocument/2006/relationships/chart" Target="../charts/chart85.xml"/><Relationship Id="rId150" Type="http://schemas.openxmlformats.org/officeDocument/2006/relationships/chart" Target="../charts/chart150.xml"/><Relationship Id="rId192" Type="http://schemas.openxmlformats.org/officeDocument/2006/relationships/chart" Target="../charts/chart192.xml"/><Relationship Id="rId206" Type="http://schemas.openxmlformats.org/officeDocument/2006/relationships/chart" Target="../charts/chart206.xml"/><Relationship Id="rId413" Type="http://schemas.openxmlformats.org/officeDocument/2006/relationships/chart" Target="../charts/chart413.xml"/><Relationship Id="rId248" Type="http://schemas.openxmlformats.org/officeDocument/2006/relationships/chart" Target="../charts/chart248.xml"/><Relationship Id="rId455" Type="http://schemas.openxmlformats.org/officeDocument/2006/relationships/chart" Target="../charts/chart455.xml"/><Relationship Id="rId497" Type="http://schemas.openxmlformats.org/officeDocument/2006/relationships/chart" Target="../charts/chart497.xml"/><Relationship Id="rId12" Type="http://schemas.openxmlformats.org/officeDocument/2006/relationships/chart" Target="../charts/chart12.xml"/><Relationship Id="rId108" Type="http://schemas.openxmlformats.org/officeDocument/2006/relationships/chart" Target="../charts/chart108.xml"/><Relationship Id="rId315" Type="http://schemas.openxmlformats.org/officeDocument/2006/relationships/chart" Target="../charts/chart315.xml"/><Relationship Id="rId357" Type="http://schemas.openxmlformats.org/officeDocument/2006/relationships/chart" Target="../charts/chart357.xml"/><Relationship Id="rId54" Type="http://schemas.openxmlformats.org/officeDocument/2006/relationships/chart" Target="../charts/chart54.xml"/><Relationship Id="rId96" Type="http://schemas.openxmlformats.org/officeDocument/2006/relationships/chart" Target="../charts/chart96.xml"/><Relationship Id="rId161" Type="http://schemas.openxmlformats.org/officeDocument/2006/relationships/chart" Target="../charts/chart161.xml"/><Relationship Id="rId217" Type="http://schemas.openxmlformats.org/officeDocument/2006/relationships/chart" Target="../charts/chart217.xml"/><Relationship Id="rId399" Type="http://schemas.openxmlformats.org/officeDocument/2006/relationships/chart" Target="../charts/chart399.xml"/><Relationship Id="rId259" Type="http://schemas.openxmlformats.org/officeDocument/2006/relationships/chart" Target="../charts/chart259.xml"/><Relationship Id="rId424" Type="http://schemas.openxmlformats.org/officeDocument/2006/relationships/chart" Target="../charts/chart424.xml"/><Relationship Id="rId466" Type="http://schemas.openxmlformats.org/officeDocument/2006/relationships/chart" Target="../charts/chart466.xml"/><Relationship Id="rId23" Type="http://schemas.openxmlformats.org/officeDocument/2006/relationships/chart" Target="../charts/chart23.xml"/><Relationship Id="rId119" Type="http://schemas.openxmlformats.org/officeDocument/2006/relationships/chart" Target="../charts/chart119.xml"/><Relationship Id="rId270" Type="http://schemas.openxmlformats.org/officeDocument/2006/relationships/chart" Target="../charts/chart270.xml"/><Relationship Id="rId326" Type="http://schemas.openxmlformats.org/officeDocument/2006/relationships/chart" Target="../charts/chart326.xml"/><Relationship Id="rId65" Type="http://schemas.openxmlformats.org/officeDocument/2006/relationships/chart" Target="../charts/chart65.xml"/><Relationship Id="rId130" Type="http://schemas.openxmlformats.org/officeDocument/2006/relationships/chart" Target="../charts/chart130.xml"/><Relationship Id="rId368" Type="http://schemas.openxmlformats.org/officeDocument/2006/relationships/chart" Target="../charts/chart368.xml"/><Relationship Id="rId172" Type="http://schemas.openxmlformats.org/officeDocument/2006/relationships/chart" Target="../charts/chart172.xml"/><Relationship Id="rId228" Type="http://schemas.openxmlformats.org/officeDocument/2006/relationships/chart" Target="../charts/chart228.xml"/><Relationship Id="rId435" Type="http://schemas.openxmlformats.org/officeDocument/2006/relationships/chart" Target="../charts/chart435.xml"/><Relationship Id="rId477" Type="http://schemas.openxmlformats.org/officeDocument/2006/relationships/chart" Target="../charts/chart477.xml"/><Relationship Id="rId281" Type="http://schemas.openxmlformats.org/officeDocument/2006/relationships/chart" Target="../charts/chart281.xml"/><Relationship Id="rId337" Type="http://schemas.openxmlformats.org/officeDocument/2006/relationships/chart" Target="../charts/chart337.xml"/><Relationship Id="rId502" Type="http://schemas.openxmlformats.org/officeDocument/2006/relationships/chart" Target="../charts/chart502.xml"/><Relationship Id="rId34" Type="http://schemas.openxmlformats.org/officeDocument/2006/relationships/chart" Target="../charts/chart34.xml"/><Relationship Id="rId76" Type="http://schemas.openxmlformats.org/officeDocument/2006/relationships/chart" Target="../charts/chart76.xml"/><Relationship Id="rId141" Type="http://schemas.openxmlformats.org/officeDocument/2006/relationships/chart" Target="../charts/chart141.xml"/><Relationship Id="rId379" Type="http://schemas.openxmlformats.org/officeDocument/2006/relationships/chart" Target="../charts/chart379.xml"/><Relationship Id="rId7" Type="http://schemas.openxmlformats.org/officeDocument/2006/relationships/chart" Target="../charts/chart7.xml"/><Relationship Id="rId183" Type="http://schemas.openxmlformats.org/officeDocument/2006/relationships/chart" Target="../charts/chart183.xml"/><Relationship Id="rId239" Type="http://schemas.openxmlformats.org/officeDocument/2006/relationships/chart" Target="../charts/chart239.xml"/><Relationship Id="rId390" Type="http://schemas.openxmlformats.org/officeDocument/2006/relationships/chart" Target="../charts/chart390.xml"/><Relationship Id="rId404" Type="http://schemas.openxmlformats.org/officeDocument/2006/relationships/chart" Target="../charts/chart404.xml"/><Relationship Id="rId446" Type="http://schemas.openxmlformats.org/officeDocument/2006/relationships/chart" Target="../charts/chart446.xml"/><Relationship Id="rId250" Type="http://schemas.openxmlformats.org/officeDocument/2006/relationships/chart" Target="../charts/chart250.xml"/><Relationship Id="rId292" Type="http://schemas.openxmlformats.org/officeDocument/2006/relationships/chart" Target="../charts/chart292.xml"/><Relationship Id="rId306" Type="http://schemas.openxmlformats.org/officeDocument/2006/relationships/chart" Target="../charts/chart306.xml"/><Relationship Id="rId488" Type="http://schemas.openxmlformats.org/officeDocument/2006/relationships/chart" Target="../charts/chart488.xml"/><Relationship Id="rId45" Type="http://schemas.openxmlformats.org/officeDocument/2006/relationships/chart" Target="../charts/chart45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348" Type="http://schemas.openxmlformats.org/officeDocument/2006/relationships/chart" Target="../charts/chart348.xml"/><Relationship Id="rId152" Type="http://schemas.openxmlformats.org/officeDocument/2006/relationships/chart" Target="../charts/chart152.xml"/><Relationship Id="rId194" Type="http://schemas.openxmlformats.org/officeDocument/2006/relationships/chart" Target="../charts/chart194.xml"/><Relationship Id="rId208" Type="http://schemas.openxmlformats.org/officeDocument/2006/relationships/chart" Target="../charts/chart208.xml"/><Relationship Id="rId415" Type="http://schemas.openxmlformats.org/officeDocument/2006/relationships/chart" Target="../charts/chart415.xml"/><Relationship Id="rId457" Type="http://schemas.openxmlformats.org/officeDocument/2006/relationships/chart" Target="../charts/chart457.xml"/><Relationship Id="rId261" Type="http://schemas.openxmlformats.org/officeDocument/2006/relationships/chart" Target="../charts/chart261.xml"/><Relationship Id="rId499" Type="http://schemas.openxmlformats.org/officeDocument/2006/relationships/chart" Target="../charts/chart499.xml"/><Relationship Id="rId14" Type="http://schemas.openxmlformats.org/officeDocument/2006/relationships/chart" Target="../charts/chart14.xml"/><Relationship Id="rId56" Type="http://schemas.openxmlformats.org/officeDocument/2006/relationships/chart" Target="../charts/chart56.xml"/><Relationship Id="rId317" Type="http://schemas.openxmlformats.org/officeDocument/2006/relationships/chart" Target="../charts/chart317.xml"/><Relationship Id="rId359" Type="http://schemas.openxmlformats.org/officeDocument/2006/relationships/chart" Target="../charts/chart359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163" Type="http://schemas.openxmlformats.org/officeDocument/2006/relationships/chart" Target="../charts/chart163.xml"/><Relationship Id="rId219" Type="http://schemas.openxmlformats.org/officeDocument/2006/relationships/chart" Target="../charts/chart219.xml"/><Relationship Id="rId370" Type="http://schemas.openxmlformats.org/officeDocument/2006/relationships/chart" Target="../charts/chart370.xml"/><Relationship Id="rId426" Type="http://schemas.openxmlformats.org/officeDocument/2006/relationships/chart" Target="../charts/chart426.xml"/><Relationship Id="rId230" Type="http://schemas.openxmlformats.org/officeDocument/2006/relationships/chart" Target="../charts/chart230.xml"/><Relationship Id="rId468" Type="http://schemas.openxmlformats.org/officeDocument/2006/relationships/chart" Target="../charts/chart468.xml"/><Relationship Id="rId25" Type="http://schemas.openxmlformats.org/officeDocument/2006/relationships/chart" Target="../charts/chart25.xml"/><Relationship Id="rId67" Type="http://schemas.openxmlformats.org/officeDocument/2006/relationships/chart" Target="../charts/chart67.xml"/><Relationship Id="rId272" Type="http://schemas.openxmlformats.org/officeDocument/2006/relationships/chart" Target="../charts/chart272.xml"/><Relationship Id="rId328" Type="http://schemas.openxmlformats.org/officeDocument/2006/relationships/chart" Target="../charts/chart328.xml"/><Relationship Id="rId132" Type="http://schemas.openxmlformats.org/officeDocument/2006/relationships/chart" Target="../charts/chart132.xml"/><Relationship Id="rId174" Type="http://schemas.openxmlformats.org/officeDocument/2006/relationships/chart" Target="../charts/chart174.xml"/><Relationship Id="rId381" Type="http://schemas.openxmlformats.org/officeDocument/2006/relationships/chart" Target="../charts/chart381.xml"/><Relationship Id="rId241" Type="http://schemas.openxmlformats.org/officeDocument/2006/relationships/chart" Target="../charts/chart241.xml"/><Relationship Id="rId437" Type="http://schemas.openxmlformats.org/officeDocument/2006/relationships/chart" Target="../charts/chart437.xml"/><Relationship Id="rId479" Type="http://schemas.openxmlformats.org/officeDocument/2006/relationships/chart" Target="../charts/chart479.xml"/><Relationship Id="rId36" Type="http://schemas.openxmlformats.org/officeDocument/2006/relationships/chart" Target="../charts/chart36.xml"/><Relationship Id="rId283" Type="http://schemas.openxmlformats.org/officeDocument/2006/relationships/chart" Target="../charts/chart283.xml"/><Relationship Id="rId339" Type="http://schemas.openxmlformats.org/officeDocument/2006/relationships/chart" Target="../charts/chart339.xml"/><Relationship Id="rId490" Type="http://schemas.openxmlformats.org/officeDocument/2006/relationships/chart" Target="../charts/chart490.xml"/><Relationship Id="rId504" Type="http://schemas.openxmlformats.org/officeDocument/2006/relationships/chart" Target="../charts/chart504.xml"/><Relationship Id="rId78" Type="http://schemas.openxmlformats.org/officeDocument/2006/relationships/chart" Target="../charts/chart78.xml"/><Relationship Id="rId101" Type="http://schemas.openxmlformats.org/officeDocument/2006/relationships/chart" Target="../charts/chart101.xml"/><Relationship Id="rId143" Type="http://schemas.openxmlformats.org/officeDocument/2006/relationships/chart" Target="../charts/chart143.xml"/><Relationship Id="rId185" Type="http://schemas.openxmlformats.org/officeDocument/2006/relationships/chart" Target="../charts/chart185.xml"/><Relationship Id="rId350" Type="http://schemas.openxmlformats.org/officeDocument/2006/relationships/chart" Target="../charts/chart350.xml"/><Relationship Id="rId406" Type="http://schemas.openxmlformats.org/officeDocument/2006/relationships/chart" Target="../charts/chart406.xml"/><Relationship Id="rId9" Type="http://schemas.openxmlformats.org/officeDocument/2006/relationships/chart" Target="../charts/chart9.xml"/><Relationship Id="rId210" Type="http://schemas.openxmlformats.org/officeDocument/2006/relationships/chart" Target="../charts/chart210.xml"/><Relationship Id="rId392" Type="http://schemas.openxmlformats.org/officeDocument/2006/relationships/chart" Target="../charts/chart392.xml"/><Relationship Id="rId448" Type="http://schemas.openxmlformats.org/officeDocument/2006/relationships/chart" Target="../charts/chart448.xml"/><Relationship Id="rId252" Type="http://schemas.openxmlformats.org/officeDocument/2006/relationships/chart" Target="../charts/chart252.xml"/><Relationship Id="rId294" Type="http://schemas.openxmlformats.org/officeDocument/2006/relationships/chart" Target="../charts/chart294.xml"/><Relationship Id="rId308" Type="http://schemas.openxmlformats.org/officeDocument/2006/relationships/chart" Target="../charts/chart308.xml"/><Relationship Id="rId47" Type="http://schemas.openxmlformats.org/officeDocument/2006/relationships/chart" Target="../charts/chart47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54" Type="http://schemas.openxmlformats.org/officeDocument/2006/relationships/chart" Target="../charts/chart154.xml"/><Relationship Id="rId361" Type="http://schemas.openxmlformats.org/officeDocument/2006/relationships/chart" Target="../charts/chart361.xml"/><Relationship Id="rId196" Type="http://schemas.openxmlformats.org/officeDocument/2006/relationships/chart" Target="../charts/chart196.xml"/><Relationship Id="rId417" Type="http://schemas.openxmlformats.org/officeDocument/2006/relationships/chart" Target="../charts/chart417.xml"/><Relationship Id="rId459" Type="http://schemas.openxmlformats.org/officeDocument/2006/relationships/chart" Target="../charts/chart459.xml"/><Relationship Id="rId16" Type="http://schemas.openxmlformats.org/officeDocument/2006/relationships/chart" Target="../charts/chart16.xml"/><Relationship Id="rId221" Type="http://schemas.openxmlformats.org/officeDocument/2006/relationships/chart" Target="../charts/chart221.xml"/><Relationship Id="rId263" Type="http://schemas.openxmlformats.org/officeDocument/2006/relationships/chart" Target="../charts/chart263.xml"/><Relationship Id="rId319" Type="http://schemas.openxmlformats.org/officeDocument/2006/relationships/chart" Target="../charts/chart319.xml"/><Relationship Id="rId470" Type="http://schemas.openxmlformats.org/officeDocument/2006/relationships/chart" Target="../charts/chart470.xml"/><Relationship Id="rId58" Type="http://schemas.openxmlformats.org/officeDocument/2006/relationships/chart" Target="../charts/chart58.xml"/><Relationship Id="rId123" Type="http://schemas.openxmlformats.org/officeDocument/2006/relationships/chart" Target="../charts/chart123.xml"/><Relationship Id="rId330" Type="http://schemas.openxmlformats.org/officeDocument/2006/relationships/chart" Target="../charts/chart330.xml"/><Relationship Id="rId165" Type="http://schemas.openxmlformats.org/officeDocument/2006/relationships/chart" Target="../charts/chart165.xml"/><Relationship Id="rId372" Type="http://schemas.openxmlformats.org/officeDocument/2006/relationships/chart" Target="../charts/chart372.xml"/><Relationship Id="rId428" Type="http://schemas.openxmlformats.org/officeDocument/2006/relationships/chart" Target="../charts/chart428.xml"/><Relationship Id="rId232" Type="http://schemas.openxmlformats.org/officeDocument/2006/relationships/chart" Target="../charts/chart232.xml"/><Relationship Id="rId274" Type="http://schemas.openxmlformats.org/officeDocument/2006/relationships/chart" Target="../charts/chart274.xml"/><Relationship Id="rId481" Type="http://schemas.openxmlformats.org/officeDocument/2006/relationships/chart" Target="../charts/chart481.xml"/><Relationship Id="rId27" Type="http://schemas.openxmlformats.org/officeDocument/2006/relationships/chart" Target="../charts/chart27.xml"/><Relationship Id="rId69" Type="http://schemas.openxmlformats.org/officeDocument/2006/relationships/chart" Target="../charts/chart69.xml"/><Relationship Id="rId134" Type="http://schemas.openxmlformats.org/officeDocument/2006/relationships/chart" Target="../charts/chart134.xml"/><Relationship Id="rId80" Type="http://schemas.openxmlformats.org/officeDocument/2006/relationships/chart" Target="../charts/chart80.xml"/><Relationship Id="rId176" Type="http://schemas.openxmlformats.org/officeDocument/2006/relationships/chart" Target="../charts/chart176.xml"/><Relationship Id="rId341" Type="http://schemas.openxmlformats.org/officeDocument/2006/relationships/chart" Target="../charts/chart341.xml"/><Relationship Id="rId383" Type="http://schemas.openxmlformats.org/officeDocument/2006/relationships/chart" Target="../charts/chart383.xml"/><Relationship Id="rId439" Type="http://schemas.openxmlformats.org/officeDocument/2006/relationships/chart" Target="../charts/chart439.xml"/><Relationship Id="rId201" Type="http://schemas.openxmlformats.org/officeDocument/2006/relationships/chart" Target="../charts/chart201.xml"/><Relationship Id="rId243" Type="http://schemas.openxmlformats.org/officeDocument/2006/relationships/chart" Target="../charts/chart243.xml"/><Relationship Id="rId285" Type="http://schemas.openxmlformats.org/officeDocument/2006/relationships/chart" Target="../charts/chart285.xml"/><Relationship Id="rId450" Type="http://schemas.openxmlformats.org/officeDocument/2006/relationships/chart" Target="../charts/chart450.xml"/><Relationship Id="rId506" Type="http://schemas.openxmlformats.org/officeDocument/2006/relationships/chart" Target="../charts/chart506.xml"/><Relationship Id="rId38" Type="http://schemas.openxmlformats.org/officeDocument/2006/relationships/chart" Target="../charts/chart38.xml"/><Relationship Id="rId103" Type="http://schemas.openxmlformats.org/officeDocument/2006/relationships/chart" Target="../charts/chart103.xml"/><Relationship Id="rId310" Type="http://schemas.openxmlformats.org/officeDocument/2006/relationships/chart" Target="../charts/chart310.xml"/><Relationship Id="rId492" Type="http://schemas.openxmlformats.org/officeDocument/2006/relationships/chart" Target="../charts/chart492.xml"/><Relationship Id="rId91" Type="http://schemas.openxmlformats.org/officeDocument/2006/relationships/chart" Target="../charts/chart91.xml"/><Relationship Id="rId145" Type="http://schemas.openxmlformats.org/officeDocument/2006/relationships/chart" Target="../charts/chart145.xml"/><Relationship Id="rId187" Type="http://schemas.openxmlformats.org/officeDocument/2006/relationships/chart" Target="../charts/chart187.xml"/><Relationship Id="rId352" Type="http://schemas.openxmlformats.org/officeDocument/2006/relationships/chart" Target="../charts/chart352.xml"/><Relationship Id="rId394" Type="http://schemas.openxmlformats.org/officeDocument/2006/relationships/chart" Target="../charts/chart394.xml"/><Relationship Id="rId408" Type="http://schemas.openxmlformats.org/officeDocument/2006/relationships/chart" Target="../charts/chart408.xml"/><Relationship Id="rId212" Type="http://schemas.openxmlformats.org/officeDocument/2006/relationships/chart" Target="../charts/chart212.xml"/><Relationship Id="rId254" Type="http://schemas.openxmlformats.org/officeDocument/2006/relationships/chart" Target="../charts/chart254.xml"/><Relationship Id="rId49" Type="http://schemas.openxmlformats.org/officeDocument/2006/relationships/chart" Target="../charts/chart49.xml"/><Relationship Id="rId114" Type="http://schemas.openxmlformats.org/officeDocument/2006/relationships/chart" Target="../charts/chart114.xml"/><Relationship Id="rId296" Type="http://schemas.openxmlformats.org/officeDocument/2006/relationships/chart" Target="../charts/chart296.xml"/><Relationship Id="rId461" Type="http://schemas.openxmlformats.org/officeDocument/2006/relationships/chart" Target="../charts/chart461.xml"/><Relationship Id="rId60" Type="http://schemas.openxmlformats.org/officeDocument/2006/relationships/chart" Target="../charts/chart60.xml"/><Relationship Id="rId156" Type="http://schemas.openxmlformats.org/officeDocument/2006/relationships/chart" Target="../charts/chart156.xml"/><Relationship Id="rId198" Type="http://schemas.openxmlformats.org/officeDocument/2006/relationships/chart" Target="../charts/chart198.xml"/><Relationship Id="rId321" Type="http://schemas.openxmlformats.org/officeDocument/2006/relationships/chart" Target="../charts/chart321.xml"/><Relationship Id="rId363" Type="http://schemas.openxmlformats.org/officeDocument/2006/relationships/chart" Target="../charts/chart363.xml"/><Relationship Id="rId419" Type="http://schemas.openxmlformats.org/officeDocument/2006/relationships/chart" Target="../charts/chart419.xml"/><Relationship Id="rId223" Type="http://schemas.openxmlformats.org/officeDocument/2006/relationships/chart" Target="../charts/chart223.xml"/><Relationship Id="rId430" Type="http://schemas.openxmlformats.org/officeDocument/2006/relationships/chart" Target="../charts/chart430.xml"/><Relationship Id="rId18" Type="http://schemas.openxmlformats.org/officeDocument/2006/relationships/chart" Target="../charts/chart18.xml"/><Relationship Id="rId265" Type="http://schemas.openxmlformats.org/officeDocument/2006/relationships/chart" Target="../charts/chart265.xml"/><Relationship Id="rId472" Type="http://schemas.openxmlformats.org/officeDocument/2006/relationships/chart" Target="../charts/chart472.xml"/><Relationship Id="rId125" Type="http://schemas.openxmlformats.org/officeDocument/2006/relationships/chart" Target="../charts/chart125.xml"/><Relationship Id="rId167" Type="http://schemas.openxmlformats.org/officeDocument/2006/relationships/chart" Target="../charts/chart167.xml"/><Relationship Id="rId332" Type="http://schemas.openxmlformats.org/officeDocument/2006/relationships/chart" Target="../charts/chart332.xml"/><Relationship Id="rId374" Type="http://schemas.openxmlformats.org/officeDocument/2006/relationships/chart" Target="../charts/chart374.xml"/><Relationship Id="rId71" Type="http://schemas.openxmlformats.org/officeDocument/2006/relationships/chart" Target="../charts/chart71.xml"/><Relationship Id="rId234" Type="http://schemas.openxmlformats.org/officeDocument/2006/relationships/chart" Target="../charts/chart234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76" Type="http://schemas.openxmlformats.org/officeDocument/2006/relationships/chart" Target="../charts/chart276.xml"/><Relationship Id="rId441" Type="http://schemas.openxmlformats.org/officeDocument/2006/relationships/chart" Target="../charts/chart441.xml"/><Relationship Id="rId483" Type="http://schemas.openxmlformats.org/officeDocument/2006/relationships/chart" Target="../charts/chart483.xml"/><Relationship Id="rId40" Type="http://schemas.openxmlformats.org/officeDocument/2006/relationships/chart" Target="../charts/chart40.xml"/><Relationship Id="rId136" Type="http://schemas.openxmlformats.org/officeDocument/2006/relationships/chart" Target="../charts/chart136.xml"/><Relationship Id="rId178" Type="http://schemas.openxmlformats.org/officeDocument/2006/relationships/chart" Target="../charts/chart178.xml"/><Relationship Id="rId301" Type="http://schemas.openxmlformats.org/officeDocument/2006/relationships/chart" Target="../charts/chart301.xml"/><Relationship Id="rId343" Type="http://schemas.openxmlformats.org/officeDocument/2006/relationships/chart" Target="../charts/chart343.xml"/><Relationship Id="rId82" Type="http://schemas.openxmlformats.org/officeDocument/2006/relationships/chart" Target="../charts/chart82.xml"/><Relationship Id="rId203" Type="http://schemas.openxmlformats.org/officeDocument/2006/relationships/chart" Target="../charts/chart203.xml"/><Relationship Id="rId385" Type="http://schemas.openxmlformats.org/officeDocument/2006/relationships/chart" Target="../charts/chart385.xml"/><Relationship Id="rId245" Type="http://schemas.openxmlformats.org/officeDocument/2006/relationships/chart" Target="../charts/chart245.xml"/><Relationship Id="rId287" Type="http://schemas.openxmlformats.org/officeDocument/2006/relationships/chart" Target="../charts/chart287.xml"/><Relationship Id="rId410" Type="http://schemas.openxmlformats.org/officeDocument/2006/relationships/chart" Target="../charts/chart410.xml"/><Relationship Id="rId452" Type="http://schemas.openxmlformats.org/officeDocument/2006/relationships/chart" Target="../charts/chart452.xml"/><Relationship Id="rId494" Type="http://schemas.openxmlformats.org/officeDocument/2006/relationships/chart" Target="../charts/chart494.xml"/><Relationship Id="rId508" Type="http://schemas.openxmlformats.org/officeDocument/2006/relationships/chart" Target="../charts/chart508.xml"/><Relationship Id="rId105" Type="http://schemas.openxmlformats.org/officeDocument/2006/relationships/chart" Target="../charts/chart105.xml"/><Relationship Id="rId147" Type="http://schemas.openxmlformats.org/officeDocument/2006/relationships/chart" Target="../charts/chart147.xml"/><Relationship Id="rId312" Type="http://schemas.openxmlformats.org/officeDocument/2006/relationships/chart" Target="../charts/chart312.xml"/><Relationship Id="rId354" Type="http://schemas.openxmlformats.org/officeDocument/2006/relationships/chart" Target="../charts/chart354.xml"/><Relationship Id="rId51" Type="http://schemas.openxmlformats.org/officeDocument/2006/relationships/chart" Target="../charts/chart51.xml"/><Relationship Id="rId93" Type="http://schemas.openxmlformats.org/officeDocument/2006/relationships/chart" Target="../charts/chart93.xml"/><Relationship Id="rId189" Type="http://schemas.openxmlformats.org/officeDocument/2006/relationships/chart" Target="../charts/chart189.xml"/><Relationship Id="rId396" Type="http://schemas.openxmlformats.org/officeDocument/2006/relationships/chart" Target="../charts/chart396.xml"/><Relationship Id="rId214" Type="http://schemas.openxmlformats.org/officeDocument/2006/relationships/chart" Target="../charts/chart214.xml"/><Relationship Id="rId256" Type="http://schemas.openxmlformats.org/officeDocument/2006/relationships/chart" Target="../charts/chart256.xml"/><Relationship Id="rId298" Type="http://schemas.openxmlformats.org/officeDocument/2006/relationships/chart" Target="../charts/chart298.xml"/><Relationship Id="rId421" Type="http://schemas.openxmlformats.org/officeDocument/2006/relationships/chart" Target="../charts/chart421.xml"/><Relationship Id="rId463" Type="http://schemas.openxmlformats.org/officeDocument/2006/relationships/chart" Target="../charts/chart463.xml"/><Relationship Id="rId116" Type="http://schemas.openxmlformats.org/officeDocument/2006/relationships/chart" Target="../charts/chart116.xml"/><Relationship Id="rId158" Type="http://schemas.openxmlformats.org/officeDocument/2006/relationships/chart" Target="../charts/chart158.xml"/><Relationship Id="rId323" Type="http://schemas.openxmlformats.org/officeDocument/2006/relationships/chart" Target="../charts/chart323.xml"/><Relationship Id="rId20" Type="http://schemas.openxmlformats.org/officeDocument/2006/relationships/chart" Target="../charts/chart20.xml"/><Relationship Id="rId62" Type="http://schemas.openxmlformats.org/officeDocument/2006/relationships/chart" Target="../charts/chart62.xml"/><Relationship Id="rId365" Type="http://schemas.openxmlformats.org/officeDocument/2006/relationships/chart" Target="../charts/chart365.xml"/><Relationship Id="rId225" Type="http://schemas.openxmlformats.org/officeDocument/2006/relationships/chart" Target="../charts/chart225.xml"/><Relationship Id="rId267" Type="http://schemas.openxmlformats.org/officeDocument/2006/relationships/chart" Target="../charts/chart267.xml"/><Relationship Id="rId432" Type="http://schemas.openxmlformats.org/officeDocument/2006/relationships/chart" Target="../charts/chart432.xml"/><Relationship Id="rId474" Type="http://schemas.openxmlformats.org/officeDocument/2006/relationships/chart" Target="../charts/chart474.xml"/><Relationship Id="rId127" Type="http://schemas.openxmlformats.org/officeDocument/2006/relationships/chart" Target="../charts/chart127.xml"/><Relationship Id="rId31" Type="http://schemas.openxmlformats.org/officeDocument/2006/relationships/chart" Target="../charts/chart31.xml"/><Relationship Id="rId73" Type="http://schemas.openxmlformats.org/officeDocument/2006/relationships/chart" Target="../charts/chart73.xml"/><Relationship Id="rId169" Type="http://schemas.openxmlformats.org/officeDocument/2006/relationships/chart" Target="../charts/chart169.xml"/><Relationship Id="rId334" Type="http://schemas.openxmlformats.org/officeDocument/2006/relationships/chart" Target="../charts/chart334.xml"/><Relationship Id="rId376" Type="http://schemas.openxmlformats.org/officeDocument/2006/relationships/chart" Target="../charts/chart376.xml"/><Relationship Id="rId4" Type="http://schemas.openxmlformats.org/officeDocument/2006/relationships/chart" Target="../charts/chart4.xml"/><Relationship Id="rId180" Type="http://schemas.openxmlformats.org/officeDocument/2006/relationships/chart" Target="../charts/chart180.xml"/><Relationship Id="rId236" Type="http://schemas.openxmlformats.org/officeDocument/2006/relationships/chart" Target="../charts/chart236.xml"/><Relationship Id="rId278" Type="http://schemas.openxmlformats.org/officeDocument/2006/relationships/chart" Target="../charts/chart278.xml"/><Relationship Id="rId401" Type="http://schemas.openxmlformats.org/officeDocument/2006/relationships/chart" Target="../charts/chart401.xml"/><Relationship Id="rId443" Type="http://schemas.openxmlformats.org/officeDocument/2006/relationships/chart" Target="../charts/chart443.xml"/><Relationship Id="rId303" Type="http://schemas.openxmlformats.org/officeDocument/2006/relationships/chart" Target="../charts/chart303.xml"/><Relationship Id="rId485" Type="http://schemas.openxmlformats.org/officeDocument/2006/relationships/chart" Target="../charts/chart485.xml"/><Relationship Id="rId42" Type="http://schemas.openxmlformats.org/officeDocument/2006/relationships/chart" Target="../charts/chart42.xml"/><Relationship Id="rId84" Type="http://schemas.openxmlformats.org/officeDocument/2006/relationships/chart" Target="../charts/chart84.xml"/><Relationship Id="rId138" Type="http://schemas.openxmlformats.org/officeDocument/2006/relationships/chart" Target="../charts/chart138.xml"/><Relationship Id="rId345" Type="http://schemas.openxmlformats.org/officeDocument/2006/relationships/chart" Target="../charts/chart345.xml"/><Relationship Id="rId387" Type="http://schemas.openxmlformats.org/officeDocument/2006/relationships/chart" Target="../charts/chart387.xml"/><Relationship Id="rId510" Type="http://schemas.openxmlformats.org/officeDocument/2006/relationships/chart" Target="../charts/chart510.xml"/><Relationship Id="rId191" Type="http://schemas.openxmlformats.org/officeDocument/2006/relationships/chart" Target="../charts/chart191.xml"/><Relationship Id="rId205" Type="http://schemas.openxmlformats.org/officeDocument/2006/relationships/chart" Target="../charts/chart205.xml"/><Relationship Id="rId247" Type="http://schemas.openxmlformats.org/officeDocument/2006/relationships/chart" Target="../charts/chart247.xml"/><Relationship Id="rId412" Type="http://schemas.openxmlformats.org/officeDocument/2006/relationships/chart" Target="../charts/chart412.xml"/><Relationship Id="rId107" Type="http://schemas.openxmlformats.org/officeDocument/2006/relationships/chart" Target="../charts/chart107.xml"/><Relationship Id="rId289" Type="http://schemas.openxmlformats.org/officeDocument/2006/relationships/chart" Target="../charts/chart289.xml"/><Relationship Id="rId454" Type="http://schemas.openxmlformats.org/officeDocument/2006/relationships/chart" Target="../charts/chart454.xml"/><Relationship Id="rId496" Type="http://schemas.openxmlformats.org/officeDocument/2006/relationships/chart" Target="../charts/chart496.xml"/><Relationship Id="rId11" Type="http://schemas.openxmlformats.org/officeDocument/2006/relationships/chart" Target="../charts/chart11.xml"/><Relationship Id="rId53" Type="http://schemas.openxmlformats.org/officeDocument/2006/relationships/chart" Target="../charts/chart53.xml"/><Relationship Id="rId149" Type="http://schemas.openxmlformats.org/officeDocument/2006/relationships/chart" Target="../charts/chart149.xml"/><Relationship Id="rId314" Type="http://schemas.openxmlformats.org/officeDocument/2006/relationships/chart" Target="../charts/chart314.xml"/><Relationship Id="rId356" Type="http://schemas.openxmlformats.org/officeDocument/2006/relationships/chart" Target="../charts/chart356.xml"/><Relationship Id="rId398" Type="http://schemas.openxmlformats.org/officeDocument/2006/relationships/chart" Target="../charts/chart398.xml"/><Relationship Id="rId95" Type="http://schemas.openxmlformats.org/officeDocument/2006/relationships/chart" Target="../charts/chart95.xml"/><Relationship Id="rId160" Type="http://schemas.openxmlformats.org/officeDocument/2006/relationships/chart" Target="../charts/chart160.xml"/><Relationship Id="rId216" Type="http://schemas.openxmlformats.org/officeDocument/2006/relationships/chart" Target="../charts/chart216.xml"/><Relationship Id="rId423" Type="http://schemas.openxmlformats.org/officeDocument/2006/relationships/chart" Target="../charts/chart423.xml"/><Relationship Id="rId258" Type="http://schemas.openxmlformats.org/officeDocument/2006/relationships/chart" Target="../charts/chart258.xml"/><Relationship Id="rId465" Type="http://schemas.openxmlformats.org/officeDocument/2006/relationships/chart" Target="../charts/chart465.xml"/><Relationship Id="rId22" Type="http://schemas.openxmlformats.org/officeDocument/2006/relationships/chart" Target="../charts/chart22.xml"/><Relationship Id="rId64" Type="http://schemas.openxmlformats.org/officeDocument/2006/relationships/chart" Target="../charts/chart64.xml"/><Relationship Id="rId118" Type="http://schemas.openxmlformats.org/officeDocument/2006/relationships/chart" Target="../charts/chart118.xml"/><Relationship Id="rId325" Type="http://schemas.openxmlformats.org/officeDocument/2006/relationships/chart" Target="../charts/chart325.xml"/><Relationship Id="rId367" Type="http://schemas.openxmlformats.org/officeDocument/2006/relationships/chart" Target="../charts/chart367.xml"/><Relationship Id="rId171" Type="http://schemas.openxmlformats.org/officeDocument/2006/relationships/chart" Target="../charts/chart171.xml"/><Relationship Id="rId227" Type="http://schemas.openxmlformats.org/officeDocument/2006/relationships/chart" Target="../charts/chart227.xml"/><Relationship Id="rId269" Type="http://schemas.openxmlformats.org/officeDocument/2006/relationships/chart" Target="../charts/chart269.xml"/><Relationship Id="rId434" Type="http://schemas.openxmlformats.org/officeDocument/2006/relationships/chart" Target="../charts/chart434.xml"/><Relationship Id="rId476" Type="http://schemas.openxmlformats.org/officeDocument/2006/relationships/chart" Target="../charts/chart476.xml"/><Relationship Id="rId33" Type="http://schemas.openxmlformats.org/officeDocument/2006/relationships/chart" Target="../charts/chart33.xml"/><Relationship Id="rId129" Type="http://schemas.openxmlformats.org/officeDocument/2006/relationships/chart" Target="../charts/chart129.xml"/><Relationship Id="rId280" Type="http://schemas.openxmlformats.org/officeDocument/2006/relationships/chart" Target="../charts/chart280.xml"/><Relationship Id="rId336" Type="http://schemas.openxmlformats.org/officeDocument/2006/relationships/chart" Target="../charts/chart336.xml"/><Relationship Id="rId501" Type="http://schemas.openxmlformats.org/officeDocument/2006/relationships/chart" Target="../charts/chart501.xml"/><Relationship Id="rId75" Type="http://schemas.openxmlformats.org/officeDocument/2006/relationships/chart" Target="../charts/chart75.xml"/><Relationship Id="rId140" Type="http://schemas.openxmlformats.org/officeDocument/2006/relationships/chart" Target="../charts/chart140.xml"/><Relationship Id="rId182" Type="http://schemas.openxmlformats.org/officeDocument/2006/relationships/chart" Target="../charts/chart182.xml"/><Relationship Id="rId378" Type="http://schemas.openxmlformats.org/officeDocument/2006/relationships/chart" Target="../charts/chart378.xml"/><Relationship Id="rId403" Type="http://schemas.openxmlformats.org/officeDocument/2006/relationships/chart" Target="../charts/chart403.xml"/><Relationship Id="rId6" Type="http://schemas.openxmlformats.org/officeDocument/2006/relationships/chart" Target="../charts/chart6.xml"/><Relationship Id="rId238" Type="http://schemas.openxmlformats.org/officeDocument/2006/relationships/chart" Target="../charts/chart238.xml"/><Relationship Id="rId445" Type="http://schemas.openxmlformats.org/officeDocument/2006/relationships/chart" Target="../charts/chart445.xml"/><Relationship Id="rId487" Type="http://schemas.openxmlformats.org/officeDocument/2006/relationships/chart" Target="../charts/chart487.xml"/><Relationship Id="rId291" Type="http://schemas.openxmlformats.org/officeDocument/2006/relationships/chart" Target="../charts/chart291.xml"/><Relationship Id="rId305" Type="http://schemas.openxmlformats.org/officeDocument/2006/relationships/chart" Target="../charts/chart305.xml"/><Relationship Id="rId347" Type="http://schemas.openxmlformats.org/officeDocument/2006/relationships/chart" Target="../charts/chart347.xml"/><Relationship Id="rId44" Type="http://schemas.openxmlformats.org/officeDocument/2006/relationships/chart" Target="../charts/chart44.xml"/><Relationship Id="rId86" Type="http://schemas.openxmlformats.org/officeDocument/2006/relationships/chart" Target="../charts/chart86.xml"/><Relationship Id="rId151" Type="http://schemas.openxmlformats.org/officeDocument/2006/relationships/chart" Target="../charts/chart151.xml"/><Relationship Id="rId389" Type="http://schemas.openxmlformats.org/officeDocument/2006/relationships/chart" Target="../charts/chart389.xml"/><Relationship Id="rId193" Type="http://schemas.openxmlformats.org/officeDocument/2006/relationships/chart" Target="../charts/chart193.xml"/><Relationship Id="rId207" Type="http://schemas.openxmlformats.org/officeDocument/2006/relationships/chart" Target="../charts/chart207.xml"/><Relationship Id="rId249" Type="http://schemas.openxmlformats.org/officeDocument/2006/relationships/chart" Target="../charts/chart249.xml"/><Relationship Id="rId414" Type="http://schemas.openxmlformats.org/officeDocument/2006/relationships/chart" Target="../charts/chart414.xml"/><Relationship Id="rId456" Type="http://schemas.openxmlformats.org/officeDocument/2006/relationships/chart" Target="../charts/chart456.xml"/><Relationship Id="rId498" Type="http://schemas.openxmlformats.org/officeDocument/2006/relationships/chart" Target="../charts/chart498.xml"/><Relationship Id="rId13" Type="http://schemas.openxmlformats.org/officeDocument/2006/relationships/chart" Target="../charts/chart13.xml"/><Relationship Id="rId109" Type="http://schemas.openxmlformats.org/officeDocument/2006/relationships/chart" Target="../charts/chart109.xml"/><Relationship Id="rId260" Type="http://schemas.openxmlformats.org/officeDocument/2006/relationships/chart" Target="../charts/chart260.xml"/><Relationship Id="rId316" Type="http://schemas.openxmlformats.org/officeDocument/2006/relationships/chart" Target="../charts/chart316.xml"/><Relationship Id="rId55" Type="http://schemas.openxmlformats.org/officeDocument/2006/relationships/chart" Target="../charts/chart55.xml"/><Relationship Id="rId97" Type="http://schemas.openxmlformats.org/officeDocument/2006/relationships/chart" Target="../charts/chart97.xml"/><Relationship Id="rId120" Type="http://schemas.openxmlformats.org/officeDocument/2006/relationships/chart" Target="../charts/chart120.xml"/><Relationship Id="rId358" Type="http://schemas.openxmlformats.org/officeDocument/2006/relationships/chart" Target="../charts/chart358.xml"/><Relationship Id="rId162" Type="http://schemas.openxmlformats.org/officeDocument/2006/relationships/chart" Target="../charts/chart162.xml"/><Relationship Id="rId218" Type="http://schemas.openxmlformats.org/officeDocument/2006/relationships/chart" Target="../charts/chart218.xml"/><Relationship Id="rId425" Type="http://schemas.openxmlformats.org/officeDocument/2006/relationships/chart" Target="../charts/chart425.xml"/><Relationship Id="rId467" Type="http://schemas.openxmlformats.org/officeDocument/2006/relationships/chart" Target="../charts/chart467.xml"/><Relationship Id="rId271" Type="http://schemas.openxmlformats.org/officeDocument/2006/relationships/chart" Target="../charts/chart271.xml"/><Relationship Id="rId24" Type="http://schemas.openxmlformats.org/officeDocument/2006/relationships/chart" Target="../charts/chart24.xml"/><Relationship Id="rId66" Type="http://schemas.openxmlformats.org/officeDocument/2006/relationships/chart" Target="../charts/chart66.xml"/><Relationship Id="rId131" Type="http://schemas.openxmlformats.org/officeDocument/2006/relationships/chart" Target="../charts/chart131.xml"/><Relationship Id="rId327" Type="http://schemas.openxmlformats.org/officeDocument/2006/relationships/chart" Target="../charts/chart327.xml"/><Relationship Id="rId369" Type="http://schemas.openxmlformats.org/officeDocument/2006/relationships/chart" Target="../charts/chart369.xml"/><Relationship Id="rId173" Type="http://schemas.openxmlformats.org/officeDocument/2006/relationships/chart" Target="../charts/chart173.xml"/><Relationship Id="rId229" Type="http://schemas.openxmlformats.org/officeDocument/2006/relationships/chart" Target="../charts/chart229.xml"/><Relationship Id="rId380" Type="http://schemas.openxmlformats.org/officeDocument/2006/relationships/chart" Target="../charts/chart380.xml"/><Relationship Id="rId436" Type="http://schemas.openxmlformats.org/officeDocument/2006/relationships/chart" Target="../charts/chart436.xml"/><Relationship Id="rId240" Type="http://schemas.openxmlformats.org/officeDocument/2006/relationships/chart" Target="../charts/chart240.xml"/><Relationship Id="rId478" Type="http://schemas.openxmlformats.org/officeDocument/2006/relationships/chart" Target="../charts/chart478.xml"/><Relationship Id="rId35" Type="http://schemas.openxmlformats.org/officeDocument/2006/relationships/chart" Target="../charts/chart35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282" Type="http://schemas.openxmlformats.org/officeDocument/2006/relationships/chart" Target="../charts/chart282.xml"/><Relationship Id="rId338" Type="http://schemas.openxmlformats.org/officeDocument/2006/relationships/chart" Target="../charts/chart338.xml"/><Relationship Id="rId503" Type="http://schemas.openxmlformats.org/officeDocument/2006/relationships/chart" Target="../charts/chart503.xml"/><Relationship Id="rId8" Type="http://schemas.openxmlformats.org/officeDocument/2006/relationships/chart" Target="../charts/chart8.xml"/><Relationship Id="rId142" Type="http://schemas.openxmlformats.org/officeDocument/2006/relationships/chart" Target="../charts/chart142.xml"/><Relationship Id="rId184" Type="http://schemas.openxmlformats.org/officeDocument/2006/relationships/chart" Target="../charts/chart184.xml"/><Relationship Id="rId391" Type="http://schemas.openxmlformats.org/officeDocument/2006/relationships/chart" Target="../charts/chart391.xml"/><Relationship Id="rId405" Type="http://schemas.openxmlformats.org/officeDocument/2006/relationships/chart" Target="../charts/chart405.xml"/><Relationship Id="rId447" Type="http://schemas.openxmlformats.org/officeDocument/2006/relationships/chart" Target="../charts/chart447.xml"/><Relationship Id="rId251" Type="http://schemas.openxmlformats.org/officeDocument/2006/relationships/chart" Target="../charts/chart251.xml"/><Relationship Id="rId489" Type="http://schemas.openxmlformats.org/officeDocument/2006/relationships/chart" Target="../charts/chart489.xml"/><Relationship Id="rId46" Type="http://schemas.openxmlformats.org/officeDocument/2006/relationships/chart" Target="../charts/chart46.xml"/><Relationship Id="rId293" Type="http://schemas.openxmlformats.org/officeDocument/2006/relationships/chart" Target="../charts/chart293.xml"/><Relationship Id="rId307" Type="http://schemas.openxmlformats.org/officeDocument/2006/relationships/chart" Target="../charts/chart307.xml"/><Relationship Id="rId349" Type="http://schemas.openxmlformats.org/officeDocument/2006/relationships/chart" Target="../charts/chart349.xml"/><Relationship Id="rId88" Type="http://schemas.openxmlformats.org/officeDocument/2006/relationships/chart" Target="../charts/chart88.xml"/><Relationship Id="rId111" Type="http://schemas.openxmlformats.org/officeDocument/2006/relationships/chart" Target="../charts/chart111.xml"/><Relationship Id="rId153" Type="http://schemas.openxmlformats.org/officeDocument/2006/relationships/chart" Target="../charts/chart153.xml"/><Relationship Id="rId195" Type="http://schemas.openxmlformats.org/officeDocument/2006/relationships/chart" Target="../charts/chart195.xml"/><Relationship Id="rId209" Type="http://schemas.openxmlformats.org/officeDocument/2006/relationships/chart" Target="../charts/chart209.xml"/><Relationship Id="rId360" Type="http://schemas.openxmlformats.org/officeDocument/2006/relationships/chart" Target="../charts/chart360.xml"/><Relationship Id="rId416" Type="http://schemas.openxmlformats.org/officeDocument/2006/relationships/chart" Target="../charts/chart416.xml"/><Relationship Id="rId220" Type="http://schemas.openxmlformats.org/officeDocument/2006/relationships/chart" Target="../charts/chart220.xml"/><Relationship Id="rId458" Type="http://schemas.openxmlformats.org/officeDocument/2006/relationships/chart" Target="../charts/chart458.xml"/><Relationship Id="rId15" Type="http://schemas.openxmlformats.org/officeDocument/2006/relationships/chart" Target="../charts/chart15.xml"/><Relationship Id="rId57" Type="http://schemas.openxmlformats.org/officeDocument/2006/relationships/chart" Target="../charts/chart57.xml"/><Relationship Id="rId262" Type="http://schemas.openxmlformats.org/officeDocument/2006/relationships/chart" Target="../charts/chart262.xml"/><Relationship Id="rId318" Type="http://schemas.openxmlformats.org/officeDocument/2006/relationships/chart" Target="../charts/chart318.xml"/><Relationship Id="rId99" Type="http://schemas.openxmlformats.org/officeDocument/2006/relationships/chart" Target="../charts/chart99.xml"/><Relationship Id="rId122" Type="http://schemas.openxmlformats.org/officeDocument/2006/relationships/chart" Target="../charts/chart122.xml"/><Relationship Id="rId164" Type="http://schemas.openxmlformats.org/officeDocument/2006/relationships/chart" Target="../charts/chart164.xml"/><Relationship Id="rId371" Type="http://schemas.openxmlformats.org/officeDocument/2006/relationships/chart" Target="../charts/chart371.xml"/><Relationship Id="rId427" Type="http://schemas.openxmlformats.org/officeDocument/2006/relationships/chart" Target="../charts/chart427.xml"/><Relationship Id="rId469" Type="http://schemas.openxmlformats.org/officeDocument/2006/relationships/chart" Target="../charts/chart469.xml"/><Relationship Id="rId26" Type="http://schemas.openxmlformats.org/officeDocument/2006/relationships/chart" Target="../charts/chart26.xml"/><Relationship Id="rId231" Type="http://schemas.openxmlformats.org/officeDocument/2006/relationships/chart" Target="../charts/chart231.xml"/><Relationship Id="rId273" Type="http://schemas.openxmlformats.org/officeDocument/2006/relationships/chart" Target="../charts/chart273.xml"/><Relationship Id="rId329" Type="http://schemas.openxmlformats.org/officeDocument/2006/relationships/chart" Target="../charts/chart329.xml"/><Relationship Id="rId480" Type="http://schemas.openxmlformats.org/officeDocument/2006/relationships/chart" Target="../charts/chart480.xml"/><Relationship Id="rId68" Type="http://schemas.openxmlformats.org/officeDocument/2006/relationships/chart" Target="../charts/chart68.xml"/><Relationship Id="rId133" Type="http://schemas.openxmlformats.org/officeDocument/2006/relationships/chart" Target="../charts/chart133.xml"/><Relationship Id="rId175" Type="http://schemas.openxmlformats.org/officeDocument/2006/relationships/chart" Target="../charts/chart175.xml"/><Relationship Id="rId340" Type="http://schemas.openxmlformats.org/officeDocument/2006/relationships/chart" Target="../charts/chart340.xml"/><Relationship Id="rId200" Type="http://schemas.openxmlformats.org/officeDocument/2006/relationships/chart" Target="../charts/chart200.xml"/><Relationship Id="rId382" Type="http://schemas.openxmlformats.org/officeDocument/2006/relationships/chart" Target="../charts/chart382.xml"/><Relationship Id="rId438" Type="http://schemas.openxmlformats.org/officeDocument/2006/relationships/chart" Target="../charts/chart438.xml"/><Relationship Id="rId242" Type="http://schemas.openxmlformats.org/officeDocument/2006/relationships/chart" Target="../charts/chart242.xml"/><Relationship Id="rId284" Type="http://schemas.openxmlformats.org/officeDocument/2006/relationships/chart" Target="../charts/chart284.xml"/><Relationship Id="rId491" Type="http://schemas.openxmlformats.org/officeDocument/2006/relationships/chart" Target="../charts/chart491.xml"/><Relationship Id="rId505" Type="http://schemas.openxmlformats.org/officeDocument/2006/relationships/chart" Target="../charts/chart505.xml"/><Relationship Id="rId37" Type="http://schemas.openxmlformats.org/officeDocument/2006/relationships/chart" Target="../charts/chart37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44" Type="http://schemas.openxmlformats.org/officeDocument/2006/relationships/chart" Target="../charts/chart144.xml"/><Relationship Id="rId90" Type="http://schemas.openxmlformats.org/officeDocument/2006/relationships/chart" Target="../charts/chart90.xml"/><Relationship Id="rId186" Type="http://schemas.openxmlformats.org/officeDocument/2006/relationships/chart" Target="../charts/chart186.xml"/><Relationship Id="rId351" Type="http://schemas.openxmlformats.org/officeDocument/2006/relationships/chart" Target="../charts/chart351.xml"/><Relationship Id="rId393" Type="http://schemas.openxmlformats.org/officeDocument/2006/relationships/chart" Target="../charts/chart393.xml"/><Relationship Id="rId407" Type="http://schemas.openxmlformats.org/officeDocument/2006/relationships/chart" Target="../charts/chart407.xml"/><Relationship Id="rId449" Type="http://schemas.openxmlformats.org/officeDocument/2006/relationships/chart" Target="../charts/chart449.xml"/><Relationship Id="rId211" Type="http://schemas.openxmlformats.org/officeDocument/2006/relationships/chart" Target="../charts/chart211.xml"/><Relationship Id="rId253" Type="http://schemas.openxmlformats.org/officeDocument/2006/relationships/chart" Target="../charts/chart253.xml"/><Relationship Id="rId295" Type="http://schemas.openxmlformats.org/officeDocument/2006/relationships/chart" Target="../charts/chart295.xml"/><Relationship Id="rId309" Type="http://schemas.openxmlformats.org/officeDocument/2006/relationships/chart" Target="../charts/chart309.xml"/><Relationship Id="rId460" Type="http://schemas.openxmlformats.org/officeDocument/2006/relationships/chart" Target="../charts/chart460.xml"/><Relationship Id="rId48" Type="http://schemas.openxmlformats.org/officeDocument/2006/relationships/chart" Target="../charts/chart48.xml"/><Relationship Id="rId113" Type="http://schemas.openxmlformats.org/officeDocument/2006/relationships/chart" Target="../charts/chart113.xml"/><Relationship Id="rId320" Type="http://schemas.openxmlformats.org/officeDocument/2006/relationships/chart" Target="../charts/chart320.xml"/><Relationship Id="rId155" Type="http://schemas.openxmlformats.org/officeDocument/2006/relationships/chart" Target="../charts/chart155.xml"/><Relationship Id="rId197" Type="http://schemas.openxmlformats.org/officeDocument/2006/relationships/chart" Target="../charts/chart197.xml"/><Relationship Id="rId362" Type="http://schemas.openxmlformats.org/officeDocument/2006/relationships/chart" Target="../charts/chart362.xml"/><Relationship Id="rId418" Type="http://schemas.openxmlformats.org/officeDocument/2006/relationships/chart" Target="../charts/chart418.xml"/><Relationship Id="rId222" Type="http://schemas.openxmlformats.org/officeDocument/2006/relationships/chart" Target="../charts/chart222.xml"/><Relationship Id="rId264" Type="http://schemas.openxmlformats.org/officeDocument/2006/relationships/chart" Target="../charts/chart264.xml"/><Relationship Id="rId471" Type="http://schemas.openxmlformats.org/officeDocument/2006/relationships/chart" Target="../charts/chart471.xml"/><Relationship Id="rId17" Type="http://schemas.openxmlformats.org/officeDocument/2006/relationships/chart" Target="../charts/chart17.xml"/><Relationship Id="rId59" Type="http://schemas.openxmlformats.org/officeDocument/2006/relationships/chart" Target="../charts/chart59.xml"/><Relationship Id="rId124" Type="http://schemas.openxmlformats.org/officeDocument/2006/relationships/chart" Target="../charts/chart124.xml"/><Relationship Id="rId70" Type="http://schemas.openxmlformats.org/officeDocument/2006/relationships/chart" Target="../charts/chart70.xml"/><Relationship Id="rId166" Type="http://schemas.openxmlformats.org/officeDocument/2006/relationships/chart" Target="../charts/chart166.xml"/><Relationship Id="rId331" Type="http://schemas.openxmlformats.org/officeDocument/2006/relationships/chart" Target="../charts/chart331.xml"/><Relationship Id="rId373" Type="http://schemas.openxmlformats.org/officeDocument/2006/relationships/chart" Target="../charts/chart373.xml"/><Relationship Id="rId429" Type="http://schemas.openxmlformats.org/officeDocument/2006/relationships/chart" Target="../charts/chart429.xml"/><Relationship Id="rId1" Type="http://schemas.openxmlformats.org/officeDocument/2006/relationships/chart" Target="../charts/chart1.xml"/><Relationship Id="rId233" Type="http://schemas.openxmlformats.org/officeDocument/2006/relationships/chart" Target="../charts/chart233.xml"/><Relationship Id="rId440" Type="http://schemas.openxmlformats.org/officeDocument/2006/relationships/chart" Target="../charts/chart440.xml"/><Relationship Id="rId28" Type="http://schemas.openxmlformats.org/officeDocument/2006/relationships/chart" Target="../charts/chart28.xml"/><Relationship Id="rId275" Type="http://schemas.openxmlformats.org/officeDocument/2006/relationships/chart" Target="../charts/chart275.xml"/><Relationship Id="rId300" Type="http://schemas.openxmlformats.org/officeDocument/2006/relationships/chart" Target="../charts/chart300.xml"/><Relationship Id="rId482" Type="http://schemas.openxmlformats.org/officeDocument/2006/relationships/chart" Target="../charts/chart482.xml"/><Relationship Id="rId81" Type="http://schemas.openxmlformats.org/officeDocument/2006/relationships/chart" Target="../charts/chart81.xml"/><Relationship Id="rId135" Type="http://schemas.openxmlformats.org/officeDocument/2006/relationships/chart" Target="../charts/chart135.xml"/><Relationship Id="rId177" Type="http://schemas.openxmlformats.org/officeDocument/2006/relationships/chart" Target="../charts/chart177.xml"/><Relationship Id="rId342" Type="http://schemas.openxmlformats.org/officeDocument/2006/relationships/chart" Target="../charts/chart342.xml"/><Relationship Id="rId384" Type="http://schemas.openxmlformats.org/officeDocument/2006/relationships/chart" Target="../charts/chart384.xml"/><Relationship Id="rId202" Type="http://schemas.openxmlformats.org/officeDocument/2006/relationships/chart" Target="../charts/chart202.xml"/><Relationship Id="rId244" Type="http://schemas.openxmlformats.org/officeDocument/2006/relationships/chart" Target="../charts/chart244.xml"/><Relationship Id="rId39" Type="http://schemas.openxmlformats.org/officeDocument/2006/relationships/chart" Target="../charts/chart39.xml"/><Relationship Id="rId286" Type="http://schemas.openxmlformats.org/officeDocument/2006/relationships/chart" Target="../charts/chart286.xml"/><Relationship Id="rId451" Type="http://schemas.openxmlformats.org/officeDocument/2006/relationships/chart" Target="../charts/chart451.xml"/><Relationship Id="rId493" Type="http://schemas.openxmlformats.org/officeDocument/2006/relationships/chart" Target="../charts/chart493.xml"/><Relationship Id="rId507" Type="http://schemas.openxmlformats.org/officeDocument/2006/relationships/chart" Target="../charts/chart507.xml"/><Relationship Id="rId50" Type="http://schemas.openxmlformats.org/officeDocument/2006/relationships/chart" Target="../charts/chart50.xml"/><Relationship Id="rId104" Type="http://schemas.openxmlformats.org/officeDocument/2006/relationships/chart" Target="../charts/chart104.xml"/><Relationship Id="rId146" Type="http://schemas.openxmlformats.org/officeDocument/2006/relationships/chart" Target="../charts/chart146.xml"/><Relationship Id="rId188" Type="http://schemas.openxmlformats.org/officeDocument/2006/relationships/chart" Target="../charts/chart188.xml"/><Relationship Id="rId311" Type="http://schemas.openxmlformats.org/officeDocument/2006/relationships/chart" Target="../charts/chart311.xml"/><Relationship Id="rId353" Type="http://schemas.openxmlformats.org/officeDocument/2006/relationships/chart" Target="../charts/chart353.xml"/><Relationship Id="rId395" Type="http://schemas.openxmlformats.org/officeDocument/2006/relationships/chart" Target="../charts/chart395.xml"/><Relationship Id="rId409" Type="http://schemas.openxmlformats.org/officeDocument/2006/relationships/chart" Target="../charts/chart409.xml"/><Relationship Id="rId92" Type="http://schemas.openxmlformats.org/officeDocument/2006/relationships/chart" Target="../charts/chart92.xml"/><Relationship Id="rId213" Type="http://schemas.openxmlformats.org/officeDocument/2006/relationships/chart" Target="../charts/chart213.xml"/><Relationship Id="rId420" Type="http://schemas.openxmlformats.org/officeDocument/2006/relationships/chart" Target="../charts/chart420.xml"/><Relationship Id="rId255" Type="http://schemas.openxmlformats.org/officeDocument/2006/relationships/chart" Target="../charts/chart255.xml"/><Relationship Id="rId297" Type="http://schemas.openxmlformats.org/officeDocument/2006/relationships/chart" Target="../charts/chart297.xml"/><Relationship Id="rId462" Type="http://schemas.openxmlformats.org/officeDocument/2006/relationships/chart" Target="../charts/chart462.xml"/><Relationship Id="rId115" Type="http://schemas.openxmlformats.org/officeDocument/2006/relationships/chart" Target="../charts/chart115.xml"/><Relationship Id="rId157" Type="http://schemas.openxmlformats.org/officeDocument/2006/relationships/chart" Target="../charts/chart157.xml"/><Relationship Id="rId322" Type="http://schemas.openxmlformats.org/officeDocument/2006/relationships/chart" Target="../charts/chart322.xml"/><Relationship Id="rId364" Type="http://schemas.openxmlformats.org/officeDocument/2006/relationships/chart" Target="../charts/chart364.xml"/><Relationship Id="rId61" Type="http://schemas.openxmlformats.org/officeDocument/2006/relationships/chart" Target="../charts/chart61.xml"/><Relationship Id="rId199" Type="http://schemas.openxmlformats.org/officeDocument/2006/relationships/chart" Target="../charts/chart199.xml"/><Relationship Id="rId19" Type="http://schemas.openxmlformats.org/officeDocument/2006/relationships/chart" Target="../charts/chart19.xml"/><Relationship Id="rId224" Type="http://schemas.openxmlformats.org/officeDocument/2006/relationships/chart" Target="../charts/chart224.xml"/><Relationship Id="rId266" Type="http://schemas.openxmlformats.org/officeDocument/2006/relationships/chart" Target="../charts/chart266.xml"/><Relationship Id="rId431" Type="http://schemas.openxmlformats.org/officeDocument/2006/relationships/chart" Target="../charts/chart431.xml"/><Relationship Id="rId473" Type="http://schemas.openxmlformats.org/officeDocument/2006/relationships/chart" Target="../charts/chart473.xml"/><Relationship Id="rId30" Type="http://schemas.openxmlformats.org/officeDocument/2006/relationships/chart" Target="../charts/chart30.xml"/><Relationship Id="rId126" Type="http://schemas.openxmlformats.org/officeDocument/2006/relationships/chart" Target="../charts/chart126.xml"/><Relationship Id="rId168" Type="http://schemas.openxmlformats.org/officeDocument/2006/relationships/chart" Target="../charts/chart168.xml"/><Relationship Id="rId333" Type="http://schemas.openxmlformats.org/officeDocument/2006/relationships/chart" Target="../charts/chart333.xml"/><Relationship Id="rId72" Type="http://schemas.openxmlformats.org/officeDocument/2006/relationships/chart" Target="../charts/chart72.xml"/><Relationship Id="rId375" Type="http://schemas.openxmlformats.org/officeDocument/2006/relationships/chart" Target="../charts/chart375.xml"/><Relationship Id="rId3" Type="http://schemas.openxmlformats.org/officeDocument/2006/relationships/chart" Target="../charts/chart3.xml"/><Relationship Id="rId235" Type="http://schemas.openxmlformats.org/officeDocument/2006/relationships/chart" Target="../charts/chart235.xml"/><Relationship Id="rId277" Type="http://schemas.openxmlformats.org/officeDocument/2006/relationships/chart" Target="../charts/chart277.xml"/><Relationship Id="rId400" Type="http://schemas.openxmlformats.org/officeDocument/2006/relationships/chart" Target="../charts/chart400.xml"/><Relationship Id="rId442" Type="http://schemas.openxmlformats.org/officeDocument/2006/relationships/chart" Target="../charts/chart442.xml"/><Relationship Id="rId484" Type="http://schemas.openxmlformats.org/officeDocument/2006/relationships/chart" Target="../charts/chart484.xml"/><Relationship Id="rId137" Type="http://schemas.openxmlformats.org/officeDocument/2006/relationships/chart" Target="../charts/chart137.xml"/><Relationship Id="rId302" Type="http://schemas.openxmlformats.org/officeDocument/2006/relationships/chart" Target="../charts/chart302.xml"/><Relationship Id="rId344" Type="http://schemas.openxmlformats.org/officeDocument/2006/relationships/chart" Target="../charts/chart344.xml"/><Relationship Id="rId41" Type="http://schemas.openxmlformats.org/officeDocument/2006/relationships/chart" Target="../charts/chart41.xml"/><Relationship Id="rId83" Type="http://schemas.openxmlformats.org/officeDocument/2006/relationships/chart" Target="../charts/chart83.xml"/><Relationship Id="rId179" Type="http://schemas.openxmlformats.org/officeDocument/2006/relationships/chart" Target="../charts/chart179.xml"/><Relationship Id="rId386" Type="http://schemas.openxmlformats.org/officeDocument/2006/relationships/chart" Target="../charts/chart386.xml"/><Relationship Id="rId190" Type="http://schemas.openxmlformats.org/officeDocument/2006/relationships/chart" Target="../charts/chart190.xml"/><Relationship Id="rId204" Type="http://schemas.openxmlformats.org/officeDocument/2006/relationships/chart" Target="../charts/chart204.xml"/><Relationship Id="rId246" Type="http://schemas.openxmlformats.org/officeDocument/2006/relationships/chart" Target="../charts/chart246.xml"/><Relationship Id="rId288" Type="http://schemas.openxmlformats.org/officeDocument/2006/relationships/chart" Target="../charts/chart288.xml"/><Relationship Id="rId411" Type="http://schemas.openxmlformats.org/officeDocument/2006/relationships/chart" Target="../charts/chart411.xml"/><Relationship Id="rId453" Type="http://schemas.openxmlformats.org/officeDocument/2006/relationships/chart" Target="../charts/chart453.xml"/><Relationship Id="rId509" Type="http://schemas.openxmlformats.org/officeDocument/2006/relationships/chart" Target="../charts/chart509.xml"/><Relationship Id="rId106" Type="http://schemas.openxmlformats.org/officeDocument/2006/relationships/chart" Target="../charts/chart106.xml"/><Relationship Id="rId313" Type="http://schemas.openxmlformats.org/officeDocument/2006/relationships/chart" Target="../charts/chart313.xml"/><Relationship Id="rId495" Type="http://schemas.openxmlformats.org/officeDocument/2006/relationships/chart" Target="../charts/chart495.xml"/><Relationship Id="rId10" Type="http://schemas.openxmlformats.org/officeDocument/2006/relationships/chart" Target="../charts/chart10.xml"/><Relationship Id="rId52" Type="http://schemas.openxmlformats.org/officeDocument/2006/relationships/chart" Target="../charts/chart52.xml"/><Relationship Id="rId94" Type="http://schemas.openxmlformats.org/officeDocument/2006/relationships/chart" Target="../charts/chart94.xml"/><Relationship Id="rId148" Type="http://schemas.openxmlformats.org/officeDocument/2006/relationships/chart" Target="../charts/chart148.xml"/><Relationship Id="rId355" Type="http://schemas.openxmlformats.org/officeDocument/2006/relationships/chart" Target="../charts/chart355.xml"/><Relationship Id="rId397" Type="http://schemas.openxmlformats.org/officeDocument/2006/relationships/chart" Target="../charts/chart397.xml"/><Relationship Id="rId215" Type="http://schemas.openxmlformats.org/officeDocument/2006/relationships/chart" Target="../charts/chart215.xml"/><Relationship Id="rId257" Type="http://schemas.openxmlformats.org/officeDocument/2006/relationships/chart" Target="../charts/chart257.xml"/><Relationship Id="rId422" Type="http://schemas.openxmlformats.org/officeDocument/2006/relationships/chart" Target="../charts/chart422.xml"/><Relationship Id="rId464" Type="http://schemas.openxmlformats.org/officeDocument/2006/relationships/chart" Target="../charts/chart46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1136650</xdr:colOff>
      <xdr:row>439</xdr:row>
      <xdr:rowOff>190500</xdr:rowOff>
    </xdr:from>
    <xdr:to>
      <xdr:col>11</xdr:col>
      <xdr:colOff>219075</xdr:colOff>
      <xdr:row>452</xdr:row>
      <xdr:rowOff>0</xdr:rowOff>
    </xdr:to>
    <xdr:graphicFrame macro="">
      <xdr:nvGraphicFramePr>
        <xdr:cNvPr id="46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2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3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3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3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3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3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3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3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3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3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3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4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4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4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4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4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4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4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4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4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4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5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5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5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5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5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5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5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5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5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5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6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6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6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6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6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6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6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6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6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6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7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7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7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7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7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7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7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7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7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7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8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8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8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8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8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8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8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8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8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8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9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9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9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9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9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9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9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9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9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9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0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0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0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0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0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0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0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0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0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0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1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1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1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1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1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1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1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1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1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1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2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2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2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2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2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2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2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2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2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2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3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3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3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3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3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3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3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3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3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3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4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4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4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4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4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4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4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4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4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4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5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5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5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5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5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5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5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5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5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5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6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6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6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6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6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6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6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6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6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6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7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7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7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7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7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7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7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7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7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7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8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8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8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8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8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8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8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2</xdr:col>
      <xdr:colOff>914400</xdr:colOff>
      <xdr:row>83</xdr:row>
      <xdr:rowOff>0</xdr:rowOff>
    </xdr:from>
    <xdr:to>
      <xdr:col>10</xdr:col>
      <xdr:colOff>1247775</xdr:colOff>
      <xdr:row>83</xdr:row>
      <xdr:rowOff>0</xdr:rowOff>
    </xdr:to>
    <xdr:graphicFrame macro="">
      <xdr:nvGraphicFramePr>
        <xdr:cNvPr id="1617628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2</xdr:col>
      <xdr:colOff>914400</xdr:colOff>
      <xdr:row>83</xdr:row>
      <xdr:rowOff>0</xdr:rowOff>
    </xdr:from>
    <xdr:to>
      <xdr:col>10</xdr:col>
      <xdr:colOff>1247775</xdr:colOff>
      <xdr:row>83</xdr:row>
      <xdr:rowOff>0</xdr:rowOff>
    </xdr:to>
    <xdr:graphicFrame macro="">
      <xdr:nvGraphicFramePr>
        <xdr:cNvPr id="1617628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2</xdr:col>
      <xdr:colOff>914400</xdr:colOff>
      <xdr:row>83</xdr:row>
      <xdr:rowOff>0</xdr:rowOff>
    </xdr:from>
    <xdr:to>
      <xdr:col>10</xdr:col>
      <xdr:colOff>1247775</xdr:colOff>
      <xdr:row>83</xdr:row>
      <xdr:rowOff>0</xdr:rowOff>
    </xdr:to>
    <xdr:graphicFrame macro="">
      <xdr:nvGraphicFramePr>
        <xdr:cNvPr id="1617629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2</xdr:col>
      <xdr:colOff>914400</xdr:colOff>
      <xdr:row>83</xdr:row>
      <xdr:rowOff>0</xdr:rowOff>
    </xdr:from>
    <xdr:to>
      <xdr:col>10</xdr:col>
      <xdr:colOff>1247775</xdr:colOff>
      <xdr:row>83</xdr:row>
      <xdr:rowOff>0</xdr:rowOff>
    </xdr:to>
    <xdr:graphicFrame macro="">
      <xdr:nvGraphicFramePr>
        <xdr:cNvPr id="1617629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2</xdr:col>
      <xdr:colOff>914400</xdr:colOff>
      <xdr:row>83</xdr:row>
      <xdr:rowOff>0</xdr:rowOff>
    </xdr:from>
    <xdr:to>
      <xdr:col>10</xdr:col>
      <xdr:colOff>1247775</xdr:colOff>
      <xdr:row>83</xdr:row>
      <xdr:rowOff>0</xdr:rowOff>
    </xdr:to>
    <xdr:graphicFrame macro="">
      <xdr:nvGraphicFramePr>
        <xdr:cNvPr id="1617629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2</xdr:col>
      <xdr:colOff>914400</xdr:colOff>
      <xdr:row>83</xdr:row>
      <xdr:rowOff>0</xdr:rowOff>
    </xdr:from>
    <xdr:to>
      <xdr:col>10</xdr:col>
      <xdr:colOff>1247775</xdr:colOff>
      <xdr:row>83</xdr:row>
      <xdr:rowOff>0</xdr:rowOff>
    </xdr:to>
    <xdr:graphicFrame macro="">
      <xdr:nvGraphicFramePr>
        <xdr:cNvPr id="1617629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2</xdr:col>
      <xdr:colOff>914400</xdr:colOff>
      <xdr:row>83</xdr:row>
      <xdr:rowOff>0</xdr:rowOff>
    </xdr:from>
    <xdr:to>
      <xdr:col>10</xdr:col>
      <xdr:colOff>1247775</xdr:colOff>
      <xdr:row>83</xdr:row>
      <xdr:rowOff>0</xdr:rowOff>
    </xdr:to>
    <xdr:graphicFrame macro="">
      <xdr:nvGraphicFramePr>
        <xdr:cNvPr id="1617629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2</xdr:col>
      <xdr:colOff>914400</xdr:colOff>
      <xdr:row>83</xdr:row>
      <xdr:rowOff>0</xdr:rowOff>
    </xdr:from>
    <xdr:to>
      <xdr:col>10</xdr:col>
      <xdr:colOff>1247775</xdr:colOff>
      <xdr:row>83</xdr:row>
      <xdr:rowOff>0</xdr:rowOff>
    </xdr:to>
    <xdr:graphicFrame macro="">
      <xdr:nvGraphicFramePr>
        <xdr:cNvPr id="1617629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2</xdr:col>
      <xdr:colOff>914400</xdr:colOff>
      <xdr:row>83</xdr:row>
      <xdr:rowOff>0</xdr:rowOff>
    </xdr:from>
    <xdr:to>
      <xdr:col>10</xdr:col>
      <xdr:colOff>1247775</xdr:colOff>
      <xdr:row>83</xdr:row>
      <xdr:rowOff>0</xdr:rowOff>
    </xdr:to>
    <xdr:graphicFrame macro="">
      <xdr:nvGraphicFramePr>
        <xdr:cNvPr id="1617629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2</xdr:col>
      <xdr:colOff>914400</xdr:colOff>
      <xdr:row>83</xdr:row>
      <xdr:rowOff>0</xdr:rowOff>
    </xdr:from>
    <xdr:to>
      <xdr:col>10</xdr:col>
      <xdr:colOff>1247775</xdr:colOff>
      <xdr:row>83</xdr:row>
      <xdr:rowOff>0</xdr:rowOff>
    </xdr:to>
    <xdr:graphicFrame macro="">
      <xdr:nvGraphicFramePr>
        <xdr:cNvPr id="1617629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2</xdr:col>
      <xdr:colOff>914400</xdr:colOff>
      <xdr:row>83</xdr:row>
      <xdr:rowOff>0</xdr:rowOff>
    </xdr:from>
    <xdr:to>
      <xdr:col>10</xdr:col>
      <xdr:colOff>1247775</xdr:colOff>
      <xdr:row>83</xdr:row>
      <xdr:rowOff>0</xdr:rowOff>
    </xdr:to>
    <xdr:graphicFrame macro="">
      <xdr:nvGraphicFramePr>
        <xdr:cNvPr id="1617629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2</xdr:col>
      <xdr:colOff>914400</xdr:colOff>
      <xdr:row>83</xdr:row>
      <xdr:rowOff>0</xdr:rowOff>
    </xdr:from>
    <xdr:to>
      <xdr:col>10</xdr:col>
      <xdr:colOff>1247775</xdr:colOff>
      <xdr:row>83</xdr:row>
      <xdr:rowOff>0</xdr:rowOff>
    </xdr:to>
    <xdr:graphicFrame macro="">
      <xdr:nvGraphicFramePr>
        <xdr:cNvPr id="1617629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2</xdr:col>
      <xdr:colOff>914400</xdr:colOff>
      <xdr:row>83</xdr:row>
      <xdr:rowOff>0</xdr:rowOff>
    </xdr:from>
    <xdr:to>
      <xdr:col>10</xdr:col>
      <xdr:colOff>1247775</xdr:colOff>
      <xdr:row>83</xdr:row>
      <xdr:rowOff>0</xdr:rowOff>
    </xdr:to>
    <xdr:graphicFrame macro="">
      <xdr:nvGraphicFramePr>
        <xdr:cNvPr id="1617630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2</xdr:col>
      <xdr:colOff>914400</xdr:colOff>
      <xdr:row>83</xdr:row>
      <xdr:rowOff>0</xdr:rowOff>
    </xdr:from>
    <xdr:to>
      <xdr:col>10</xdr:col>
      <xdr:colOff>1247775</xdr:colOff>
      <xdr:row>83</xdr:row>
      <xdr:rowOff>0</xdr:rowOff>
    </xdr:to>
    <xdr:graphicFrame macro="">
      <xdr:nvGraphicFramePr>
        <xdr:cNvPr id="1617630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2</xdr:col>
      <xdr:colOff>914400</xdr:colOff>
      <xdr:row>83</xdr:row>
      <xdr:rowOff>0</xdr:rowOff>
    </xdr:from>
    <xdr:to>
      <xdr:col>10</xdr:col>
      <xdr:colOff>1247775</xdr:colOff>
      <xdr:row>83</xdr:row>
      <xdr:rowOff>0</xdr:rowOff>
    </xdr:to>
    <xdr:graphicFrame macro="">
      <xdr:nvGraphicFramePr>
        <xdr:cNvPr id="1617630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2</xdr:col>
      <xdr:colOff>914400</xdr:colOff>
      <xdr:row>83</xdr:row>
      <xdr:rowOff>0</xdr:rowOff>
    </xdr:from>
    <xdr:to>
      <xdr:col>10</xdr:col>
      <xdr:colOff>1247775</xdr:colOff>
      <xdr:row>83</xdr:row>
      <xdr:rowOff>0</xdr:rowOff>
    </xdr:to>
    <xdr:graphicFrame macro="">
      <xdr:nvGraphicFramePr>
        <xdr:cNvPr id="1617630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2</xdr:col>
      <xdr:colOff>914400</xdr:colOff>
      <xdr:row>83</xdr:row>
      <xdr:rowOff>0</xdr:rowOff>
    </xdr:from>
    <xdr:to>
      <xdr:col>10</xdr:col>
      <xdr:colOff>1247775</xdr:colOff>
      <xdr:row>83</xdr:row>
      <xdr:rowOff>0</xdr:rowOff>
    </xdr:to>
    <xdr:graphicFrame macro="">
      <xdr:nvGraphicFramePr>
        <xdr:cNvPr id="1617630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2</xdr:col>
      <xdr:colOff>914400</xdr:colOff>
      <xdr:row>83</xdr:row>
      <xdr:rowOff>0</xdr:rowOff>
    </xdr:from>
    <xdr:to>
      <xdr:col>10</xdr:col>
      <xdr:colOff>1247775</xdr:colOff>
      <xdr:row>83</xdr:row>
      <xdr:rowOff>0</xdr:rowOff>
    </xdr:to>
    <xdr:graphicFrame macro="">
      <xdr:nvGraphicFramePr>
        <xdr:cNvPr id="1617630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2</xdr:col>
      <xdr:colOff>914400</xdr:colOff>
      <xdr:row>83</xdr:row>
      <xdr:rowOff>0</xdr:rowOff>
    </xdr:from>
    <xdr:to>
      <xdr:col>10</xdr:col>
      <xdr:colOff>1247775</xdr:colOff>
      <xdr:row>83</xdr:row>
      <xdr:rowOff>0</xdr:rowOff>
    </xdr:to>
    <xdr:graphicFrame macro="">
      <xdr:nvGraphicFramePr>
        <xdr:cNvPr id="1617630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2</xdr:col>
      <xdr:colOff>914400</xdr:colOff>
      <xdr:row>83</xdr:row>
      <xdr:rowOff>0</xdr:rowOff>
    </xdr:from>
    <xdr:to>
      <xdr:col>10</xdr:col>
      <xdr:colOff>1247775</xdr:colOff>
      <xdr:row>83</xdr:row>
      <xdr:rowOff>0</xdr:rowOff>
    </xdr:to>
    <xdr:graphicFrame macro="">
      <xdr:nvGraphicFramePr>
        <xdr:cNvPr id="1617630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2</xdr:col>
      <xdr:colOff>914400</xdr:colOff>
      <xdr:row>83</xdr:row>
      <xdr:rowOff>0</xdr:rowOff>
    </xdr:from>
    <xdr:to>
      <xdr:col>10</xdr:col>
      <xdr:colOff>1247775</xdr:colOff>
      <xdr:row>83</xdr:row>
      <xdr:rowOff>0</xdr:rowOff>
    </xdr:to>
    <xdr:graphicFrame macro="">
      <xdr:nvGraphicFramePr>
        <xdr:cNvPr id="1617630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2</xdr:col>
      <xdr:colOff>914400</xdr:colOff>
      <xdr:row>83</xdr:row>
      <xdr:rowOff>0</xdr:rowOff>
    </xdr:from>
    <xdr:to>
      <xdr:col>10</xdr:col>
      <xdr:colOff>1247775</xdr:colOff>
      <xdr:row>83</xdr:row>
      <xdr:rowOff>0</xdr:rowOff>
    </xdr:to>
    <xdr:graphicFrame macro="">
      <xdr:nvGraphicFramePr>
        <xdr:cNvPr id="1617630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2</xdr:col>
      <xdr:colOff>914400</xdr:colOff>
      <xdr:row>83</xdr:row>
      <xdr:rowOff>0</xdr:rowOff>
    </xdr:from>
    <xdr:to>
      <xdr:col>10</xdr:col>
      <xdr:colOff>1247775</xdr:colOff>
      <xdr:row>83</xdr:row>
      <xdr:rowOff>0</xdr:rowOff>
    </xdr:to>
    <xdr:graphicFrame macro="">
      <xdr:nvGraphicFramePr>
        <xdr:cNvPr id="1617631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2</xdr:col>
      <xdr:colOff>914400</xdr:colOff>
      <xdr:row>83</xdr:row>
      <xdr:rowOff>0</xdr:rowOff>
    </xdr:from>
    <xdr:to>
      <xdr:col>10</xdr:col>
      <xdr:colOff>1247775</xdr:colOff>
      <xdr:row>83</xdr:row>
      <xdr:rowOff>0</xdr:rowOff>
    </xdr:to>
    <xdr:graphicFrame macro="">
      <xdr:nvGraphicFramePr>
        <xdr:cNvPr id="1617631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2</xdr:col>
      <xdr:colOff>914400</xdr:colOff>
      <xdr:row>83</xdr:row>
      <xdr:rowOff>0</xdr:rowOff>
    </xdr:from>
    <xdr:to>
      <xdr:col>10</xdr:col>
      <xdr:colOff>1247775</xdr:colOff>
      <xdr:row>83</xdr:row>
      <xdr:rowOff>0</xdr:rowOff>
    </xdr:to>
    <xdr:graphicFrame macro="">
      <xdr:nvGraphicFramePr>
        <xdr:cNvPr id="1617631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2</xdr:col>
      <xdr:colOff>914400</xdr:colOff>
      <xdr:row>83</xdr:row>
      <xdr:rowOff>0</xdr:rowOff>
    </xdr:from>
    <xdr:to>
      <xdr:col>10</xdr:col>
      <xdr:colOff>1247775</xdr:colOff>
      <xdr:row>83</xdr:row>
      <xdr:rowOff>0</xdr:rowOff>
    </xdr:to>
    <xdr:graphicFrame macro="">
      <xdr:nvGraphicFramePr>
        <xdr:cNvPr id="1617631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2</xdr:col>
      <xdr:colOff>914400</xdr:colOff>
      <xdr:row>83</xdr:row>
      <xdr:rowOff>0</xdr:rowOff>
    </xdr:from>
    <xdr:to>
      <xdr:col>10</xdr:col>
      <xdr:colOff>1247775</xdr:colOff>
      <xdr:row>83</xdr:row>
      <xdr:rowOff>0</xdr:rowOff>
    </xdr:to>
    <xdr:graphicFrame macro="">
      <xdr:nvGraphicFramePr>
        <xdr:cNvPr id="1617631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2</xdr:col>
      <xdr:colOff>914400</xdr:colOff>
      <xdr:row>83</xdr:row>
      <xdr:rowOff>0</xdr:rowOff>
    </xdr:from>
    <xdr:to>
      <xdr:col>10</xdr:col>
      <xdr:colOff>1247775</xdr:colOff>
      <xdr:row>83</xdr:row>
      <xdr:rowOff>0</xdr:rowOff>
    </xdr:to>
    <xdr:graphicFrame macro="">
      <xdr:nvGraphicFramePr>
        <xdr:cNvPr id="1617631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2</xdr:col>
      <xdr:colOff>914400</xdr:colOff>
      <xdr:row>83</xdr:row>
      <xdr:rowOff>0</xdr:rowOff>
    </xdr:from>
    <xdr:to>
      <xdr:col>10</xdr:col>
      <xdr:colOff>1247775</xdr:colOff>
      <xdr:row>83</xdr:row>
      <xdr:rowOff>0</xdr:rowOff>
    </xdr:to>
    <xdr:graphicFrame macro="">
      <xdr:nvGraphicFramePr>
        <xdr:cNvPr id="1617631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2</xdr:col>
      <xdr:colOff>914400</xdr:colOff>
      <xdr:row>83</xdr:row>
      <xdr:rowOff>0</xdr:rowOff>
    </xdr:from>
    <xdr:to>
      <xdr:col>10</xdr:col>
      <xdr:colOff>1247775</xdr:colOff>
      <xdr:row>83</xdr:row>
      <xdr:rowOff>0</xdr:rowOff>
    </xdr:to>
    <xdr:graphicFrame macro="">
      <xdr:nvGraphicFramePr>
        <xdr:cNvPr id="1617631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2</xdr:col>
      <xdr:colOff>914400</xdr:colOff>
      <xdr:row>83</xdr:row>
      <xdr:rowOff>0</xdr:rowOff>
    </xdr:from>
    <xdr:to>
      <xdr:col>10</xdr:col>
      <xdr:colOff>1247775</xdr:colOff>
      <xdr:row>83</xdr:row>
      <xdr:rowOff>0</xdr:rowOff>
    </xdr:to>
    <xdr:graphicFrame macro="">
      <xdr:nvGraphicFramePr>
        <xdr:cNvPr id="1617631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2</xdr:col>
      <xdr:colOff>914400</xdr:colOff>
      <xdr:row>83</xdr:row>
      <xdr:rowOff>0</xdr:rowOff>
    </xdr:from>
    <xdr:to>
      <xdr:col>10</xdr:col>
      <xdr:colOff>1247775</xdr:colOff>
      <xdr:row>83</xdr:row>
      <xdr:rowOff>0</xdr:rowOff>
    </xdr:to>
    <xdr:graphicFrame macro="">
      <xdr:nvGraphicFramePr>
        <xdr:cNvPr id="1617631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2</xdr:col>
      <xdr:colOff>914400</xdr:colOff>
      <xdr:row>83</xdr:row>
      <xdr:rowOff>0</xdr:rowOff>
    </xdr:from>
    <xdr:to>
      <xdr:col>10</xdr:col>
      <xdr:colOff>1247775</xdr:colOff>
      <xdr:row>83</xdr:row>
      <xdr:rowOff>0</xdr:rowOff>
    </xdr:to>
    <xdr:graphicFrame macro="">
      <xdr:nvGraphicFramePr>
        <xdr:cNvPr id="1617632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2</xdr:col>
      <xdr:colOff>914400</xdr:colOff>
      <xdr:row>83</xdr:row>
      <xdr:rowOff>0</xdr:rowOff>
    </xdr:from>
    <xdr:to>
      <xdr:col>10</xdr:col>
      <xdr:colOff>1247775</xdr:colOff>
      <xdr:row>83</xdr:row>
      <xdr:rowOff>0</xdr:rowOff>
    </xdr:to>
    <xdr:graphicFrame macro="">
      <xdr:nvGraphicFramePr>
        <xdr:cNvPr id="1617632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2</xdr:col>
      <xdr:colOff>914400</xdr:colOff>
      <xdr:row>83</xdr:row>
      <xdr:rowOff>0</xdr:rowOff>
    </xdr:from>
    <xdr:to>
      <xdr:col>10</xdr:col>
      <xdr:colOff>1247775</xdr:colOff>
      <xdr:row>83</xdr:row>
      <xdr:rowOff>0</xdr:rowOff>
    </xdr:to>
    <xdr:graphicFrame macro="">
      <xdr:nvGraphicFramePr>
        <xdr:cNvPr id="1617632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2</xdr:col>
      <xdr:colOff>914400</xdr:colOff>
      <xdr:row>83</xdr:row>
      <xdr:rowOff>0</xdr:rowOff>
    </xdr:from>
    <xdr:to>
      <xdr:col>10</xdr:col>
      <xdr:colOff>1247775</xdr:colOff>
      <xdr:row>83</xdr:row>
      <xdr:rowOff>0</xdr:rowOff>
    </xdr:to>
    <xdr:graphicFrame macro="">
      <xdr:nvGraphicFramePr>
        <xdr:cNvPr id="1617632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2</xdr:col>
      <xdr:colOff>914400</xdr:colOff>
      <xdr:row>83</xdr:row>
      <xdr:rowOff>0</xdr:rowOff>
    </xdr:from>
    <xdr:to>
      <xdr:col>10</xdr:col>
      <xdr:colOff>1247775</xdr:colOff>
      <xdr:row>83</xdr:row>
      <xdr:rowOff>0</xdr:rowOff>
    </xdr:to>
    <xdr:graphicFrame macro="">
      <xdr:nvGraphicFramePr>
        <xdr:cNvPr id="1617632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2</xdr:col>
      <xdr:colOff>914400</xdr:colOff>
      <xdr:row>83</xdr:row>
      <xdr:rowOff>0</xdr:rowOff>
    </xdr:from>
    <xdr:to>
      <xdr:col>10</xdr:col>
      <xdr:colOff>1247775</xdr:colOff>
      <xdr:row>83</xdr:row>
      <xdr:rowOff>0</xdr:rowOff>
    </xdr:to>
    <xdr:graphicFrame macro="">
      <xdr:nvGraphicFramePr>
        <xdr:cNvPr id="1617632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2</xdr:col>
      <xdr:colOff>914400</xdr:colOff>
      <xdr:row>83</xdr:row>
      <xdr:rowOff>0</xdr:rowOff>
    </xdr:from>
    <xdr:to>
      <xdr:col>10</xdr:col>
      <xdr:colOff>1247775</xdr:colOff>
      <xdr:row>83</xdr:row>
      <xdr:rowOff>0</xdr:rowOff>
    </xdr:to>
    <xdr:graphicFrame macro="">
      <xdr:nvGraphicFramePr>
        <xdr:cNvPr id="1617632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2</xdr:col>
      <xdr:colOff>914400</xdr:colOff>
      <xdr:row>83</xdr:row>
      <xdr:rowOff>0</xdr:rowOff>
    </xdr:from>
    <xdr:to>
      <xdr:col>10</xdr:col>
      <xdr:colOff>1247775</xdr:colOff>
      <xdr:row>83</xdr:row>
      <xdr:rowOff>0</xdr:rowOff>
    </xdr:to>
    <xdr:graphicFrame macro="">
      <xdr:nvGraphicFramePr>
        <xdr:cNvPr id="1617632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2</xdr:col>
      <xdr:colOff>914400</xdr:colOff>
      <xdr:row>83</xdr:row>
      <xdr:rowOff>0</xdr:rowOff>
    </xdr:from>
    <xdr:to>
      <xdr:col>10</xdr:col>
      <xdr:colOff>1247775</xdr:colOff>
      <xdr:row>83</xdr:row>
      <xdr:rowOff>0</xdr:rowOff>
    </xdr:to>
    <xdr:graphicFrame macro="">
      <xdr:nvGraphicFramePr>
        <xdr:cNvPr id="1617632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2</xdr:col>
      <xdr:colOff>914400</xdr:colOff>
      <xdr:row>83</xdr:row>
      <xdr:rowOff>0</xdr:rowOff>
    </xdr:from>
    <xdr:to>
      <xdr:col>10</xdr:col>
      <xdr:colOff>1247775</xdr:colOff>
      <xdr:row>83</xdr:row>
      <xdr:rowOff>0</xdr:rowOff>
    </xdr:to>
    <xdr:graphicFrame macro="">
      <xdr:nvGraphicFramePr>
        <xdr:cNvPr id="1617632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2</xdr:col>
      <xdr:colOff>914400</xdr:colOff>
      <xdr:row>83</xdr:row>
      <xdr:rowOff>0</xdr:rowOff>
    </xdr:from>
    <xdr:to>
      <xdr:col>10</xdr:col>
      <xdr:colOff>1247775</xdr:colOff>
      <xdr:row>83</xdr:row>
      <xdr:rowOff>0</xdr:rowOff>
    </xdr:to>
    <xdr:graphicFrame macro="">
      <xdr:nvGraphicFramePr>
        <xdr:cNvPr id="1617633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3</xdr:col>
      <xdr:colOff>73025</xdr:colOff>
      <xdr:row>91</xdr:row>
      <xdr:rowOff>15875</xdr:rowOff>
    </xdr:from>
    <xdr:to>
      <xdr:col>11</xdr:col>
      <xdr:colOff>330200</xdr:colOff>
      <xdr:row>103</xdr:row>
      <xdr:rowOff>31750</xdr:rowOff>
    </xdr:to>
    <xdr:graphicFrame macro="">
      <xdr:nvGraphicFramePr>
        <xdr:cNvPr id="20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2</xdr:col>
      <xdr:colOff>914400</xdr:colOff>
      <xdr:row>152</xdr:row>
      <xdr:rowOff>0</xdr:rowOff>
    </xdr:from>
    <xdr:to>
      <xdr:col>10</xdr:col>
      <xdr:colOff>1247775</xdr:colOff>
      <xdr:row>152</xdr:row>
      <xdr:rowOff>0</xdr:rowOff>
    </xdr:to>
    <xdr:graphicFrame macro="">
      <xdr:nvGraphicFramePr>
        <xdr:cNvPr id="20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2</xdr:col>
      <xdr:colOff>914400</xdr:colOff>
      <xdr:row>152</xdr:row>
      <xdr:rowOff>0</xdr:rowOff>
    </xdr:from>
    <xdr:to>
      <xdr:col>10</xdr:col>
      <xdr:colOff>1247775</xdr:colOff>
      <xdr:row>152</xdr:row>
      <xdr:rowOff>0</xdr:rowOff>
    </xdr:to>
    <xdr:graphicFrame macro="">
      <xdr:nvGraphicFramePr>
        <xdr:cNvPr id="20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2</xdr:col>
      <xdr:colOff>914400</xdr:colOff>
      <xdr:row>152</xdr:row>
      <xdr:rowOff>0</xdr:rowOff>
    </xdr:from>
    <xdr:to>
      <xdr:col>10</xdr:col>
      <xdr:colOff>1247775</xdr:colOff>
      <xdr:row>152</xdr:row>
      <xdr:rowOff>0</xdr:rowOff>
    </xdr:to>
    <xdr:graphicFrame macro="">
      <xdr:nvGraphicFramePr>
        <xdr:cNvPr id="20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2</xdr:col>
      <xdr:colOff>914400</xdr:colOff>
      <xdr:row>152</xdr:row>
      <xdr:rowOff>0</xdr:rowOff>
    </xdr:from>
    <xdr:to>
      <xdr:col>10</xdr:col>
      <xdr:colOff>1247775</xdr:colOff>
      <xdr:row>152</xdr:row>
      <xdr:rowOff>0</xdr:rowOff>
    </xdr:to>
    <xdr:graphicFrame macro="">
      <xdr:nvGraphicFramePr>
        <xdr:cNvPr id="20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2</xdr:col>
      <xdr:colOff>914400</xdr:colOff>
      <xdr:row>152</xdr:row>
      <xdr:rowOff>0</xdr:rowOff>
    </xdr:from>
    <xdr:to>
      <xdr:col>10</xdr:col>
      <xdr:colOff>1247775</xdr:colOff>
      <xdr:row>152</xdr:row>
      <xdr:rowOff>0</xdr:rowOff>
    </xdr:to>
    <xdr:graphicFrame macro="">
      <xdr:nvGraphicFramePr>
        <xdr:cNvPr id="20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2</xdr:col>
      <xdr:colOff>914400</xdr:colOff>
      <xdr:row>152</xdr:row>
      <xdr:rowOff>0</xdr:rowOff>
    </xdr:from>
    <xdr:to>
      <xdr:col>10</xdr:col>
      <xdr:colOff>1247775</xdr:colOff>
      <xdr:row>152</xdr:row>
      <xdr:rowOff>0</xdr:rowOff>
    </xdr:to>
    <xdr:graphicFrame macro="">
      <xdr:nvGraphicFramePr>
        <xdr:cNvPr id="21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2</xdr:col>
      <xdr:colOff>914400</xdr:colOff>
      <xdr:row>152</xdr:row>
      <xdr:rowOff>0</xdr:rowOff>
    </xdr:from>
    <xdr:to>
      <xdr:col>10</xdr:col>
      <xdr:colOff>1247775</xdr:colOff>
      <xdr:row>152</xdr:row>
      <xdr:rowOff>0</xdr:rowOff>
    </xdr:to>
    <xdr:graphicFrame macro="">
      <xdr:nvGraphicFramePr>
        <xdr:cNvPr id="21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2</xdr:col>
      <xdr:colOff>914400</xdr:colOff>
      <xdr:row>152</xdr:row>
      <xdr:rowOff>0</xdr:rowOff>
    </xdr:from>
    <xdr:to>
      <xdr:col>10</xdr:col>
      <xdr:colOff>1247775</xdr:colOff>
      <xdr:row>152</xdr:row>
      <xdr:rowOff>0</xdr:rowOff>
    </xdr:to>
    <xdr:graphicFrame macro="">
      <xdr:nvGraphicFramePr>
        <xdr:cNvPr id="21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2</xdr:col>
      <xdr:colOff>914400</xdr:colOff>
      <xdr:row>152</xdr:row>
      <xdr:rowOff>0</xdr:rowOff>
    </xdr:from>
    <xdr:to>
      <xdr:col>10</xdr:col>
      <xdr:colOff>1247775</xdr:colOff>
      <xdr:row>152</xdr:row>
      <xdr:rowOff>0</xdr:rowOff>
    </xdr:to>
    <xdr:graphicFrame macro="">
      <xdr:nvGraphicFramePr>
        <xdr:cNvPr id="21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2</xdr:col>
      <xdr:colOff>914400</xdr:colOff>
      <xdr:row>152</xdr:row>
      <xdr:rowOff>0</xdr:rowOff>
    </xdr:from>
    <xdr:to>
      <xdr:col>10</xdr:col>
      <xdr:colOff>1247775</xdr:colOff>
      <xdr:row>152</xdr:row>
      <xdr:rowOff>0</xdr:rowOff>
    </xdr:to>
    <xdr:graphicFrame macro="">
      <xdr:nvGraphicFramePr>
        <xdr:cNvPr id="21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2</xdr:col>
      <xdr:colOff>914400</xdr:colOff>
      <xdr:row>152</xdr:row>
      <xdr:rowOff>0</xdr:rowOff>
    </xdr:from>
    <xdr:to>
      <xdr:col>10</xdr:col>
      <xdr:colOff>1247775</xdr:colOff>
      <xdr:row>152</xdr:row>
      <xdr:rowOff>0</xdr:rowOff>
    </xdr:to>
    <xdr:graphicFrame macro="">
      <xdr:nvGraphicFramePr>
        <xdr:cNvPr id="21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2</xdr:col>
      <xdr:colOff>914400</xdr:colOff>
      <xdr:row>152</xdr:row>
      <xdr:rowOff>0</xdr:rowOff>
    </xdr:from>
    <xdr:to>
      <xdr:col>10</xdr:col>
      <xdr:colOff>1247775</xdr:colOff>
      <xdr:row>152</xdr:row>
      <xdr:rowOff>0</xdr:rowOff>
    </xdr:to>
    <xdr:graphicFrame macro="">
      <xdr:nvGraphicFramePr>
        <xdr:cNvPr id="21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2</xdr:col>
      <xdr:colOff>914400</xdr:colOff>
      <xdr:row>152</xdr:row>
      <xdr:rowOff>0</xdr:rowOff>
    </xdr:from>
    <xdr:to>
      <xdr:col>10</xdr:col>
      <xdr:colOff>1247775</xdr:colOff>
      <xdr:row>152</xdr:row>
      <xdr:rowOff>0</xdr:rowOff>
    </xdr:to>
    <xdr:graphicFrame macro="">
      <xdr:nvGraphicFramePr>
        <xdr:cNvPr id="21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2</xdr:col>
      <xdr:colOff>914400</xdr:colOff>
      <xdr:row>152</xdr:row>
      <xdr:rowOff>0</xdr:rowOff>
    </xdr:from>
    <xdr:to>
      <xdr:col>10</xdr:col>
      <xdr:colOff>1247775</xdr:colOff>
      <xdr:row>152</xdr:row>
      <xdr:rowOff>0</xdr:rowOff>
    </xdr:to>
    <xdr:graphicFrame macro="">
      <xdr:nvGraphicFramePr>
        <xdr:cNvPr id="21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2</xdr:col>
      <xdr:colOff>914400</xdr:colOff>
      <xdr:row>152</xdr:row>
      <xdr:rowOff>0</xdr:rowOff>
    </xdr:from>
    <xdr:to>
      <xdr:col>10</xdr:col>
      <xdr:colOff>1247775</xdr:colOff>
      <xdr:row>152</xdr:row>
      <xdr:rowOff>0</xdr:rowOff>
    </xdr:to>
    <xdr:graphicFrame macro="">
      <xdr:nvGraphicFramePr>
        <xdr:cNvPr id="21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2</xdr:col>
      <xdr:colOff>914400</xdr:colOff>
      <xdr:row>152</xdr:row>
      <xdr:rowOff>0</xdr:rowOff>
    </xdr:from>
    <xdr:to>
      <xdr:col>10</xdr:col>
      <xdr:colOff>1247775</xdr:colOff>
      <xdr:row>152</xdr:row>
      <xdr:rowOff>0</xdr:rowOff>
    </xdr:to>
    <xdr:graphicFrame macro="">
      <xdr:nvGraphicFramePr>
        <xdr:cNvPr id="22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2</xdr:col>
      <xdr:colOff>914400</xdr:colOff>
      <xdr:row>152</xdr:row>
      <xdr:rowOff>0</xdr:rowOff>
    </xdr:from>
    <xdr:to>
      <xdr:col>10</xdr:col>
      <xdr:colOff>1247775</xdr:colOff>
      <xdr:row>152</xdr:row>
      <xdr:rowOff>0</xdr:rowOff>
    </xdr:to>
    <xdr:graphicFrame macro="">
      <xdr:nvGraphicFramePr>
        <xdr:cNvPr id="22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2</xdr:col>
      <xdr:colOff>914400</xdr:colOff>
      <xdr:row>152</xdr:row>
      <xdr:rowOff>0</xdr:rowOff>
    </xdr:from>
    <xdr:to>
      <xdr:col>10</xdr:col>
      <xdr:colOff>1247775</xdr:colOff>
      <xdr:row>152</xdr:row>
      <xdr:rowOff>0</xdr:rowOff>
    </xdr:to>
    <xdr:graphicFrame macro="">
      <xdr:nvGraphicFramePr>
        <xdr:cNvPr id="22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2</xdr:col>
      <xdr:colOff>914400</xdr:colOff>
      <xdr:row>152</xdr:row>
      <xdr:rowOff>0</xdr:rowOff>
    </xdr:from>
    <xdr:to>
      <xdr:col>10</xdr:col>
      <xdr:colOff>1247775</xdr:colOff>
      <xdr:row>152</xdr:row>
      <xdr:rowOff>0</xdr:rowOff>
    </xdr:to>
    <xdr:graphicFrame macro="">
      <xdr:nvGraphicFramePr>
        <xdr:cNvPr id="22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2</xdr:col>
      <xdr:colOff>914400</xdr:colOff>
      <xdr:row>152</xdr:row>
      <xdr:rowOff>0</xdr:rowOff>
    </xdr:from>
    <xdr:to>
      <xdr:col>10</xdr:col>
      <xdr:colOff>1247775</xdr:colOff>
      <xdr:row>152</xdr:row>
      <xdr:rowOff>0</xdr:rowOff>
    </xdr:to>
    <xdr:graphicFrame macro="">
      <xdr:nvGraphicFramePr>
        <xdr:cNvPr id="22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2</xdr:col>
      <xdr:colOff>914400</xdr:colOff>
      <xdr:row>152</xdr:row>
      <xdr:rowOff>0</xdr:rowOff>
    </xdr:from>
    <xdr:to>
      <xdr:col>10</xdr:col>
      <xdr:colOff>1247775</xdr:colOff>
      <xdr:row>152</xdr:row>
      <xdr:rowOff>0</xdr:rowOff>
    </xdr:to>
    <xdr:graphicFrame macro="">
      <xdr:nvGraphicFramePr>
        <xdr:cNvPr id="22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2</xdr:col>
      <xdr:colOff>914400</xdr:colOff>
      <xdr:row>152</xdr:row>
      <xdr:rowOff>0</xdr:rowOff>
    </xdr:from>
    <xdr:to>
      <xdr:col>10</xdr:col>
      <xdr:colOff>1247775</xdr:colOff>
      <xdr:row>152</xdr:row>
      <xdr:rowOff>0</xdr:rowOff>
    </xdr:to>
    <xdr:graphicFrame macro="">
      <xdr:nvGraphicFramePr>
        <xdr:cNvPr id="22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2</xdr:col>
      <xdr:colOff>914400</xdr:colOff>
      <xdr:row>152</xdr:row>
      <xdr:rowOff>0</xdr:rowOff>
    </xdr:from>
    <xdr:to>
      <xdr:col>10</xdr:col>
      <xdr:colOff>1247775</xdr:colOff>
      <xdr:row>152</xdr:row>
      <xdr:rowOff>0</xdr:rowOff>
    </xdr:to>
    <xdr:graphicFrame macro="">
      <xdr:nvGraphicFramePr>
        <xdr:cNvPr id="22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2</xdr:col>
      <xdr:colOff>914400</xdr:colOff>
      <xdr:row>152</xdr:row>
      <xdr:rowOff>0</xdr:rowOff>
    </xdr:from>
    <xdr:to>
      <xdr:col>10</xdr:col>
      <xdr:colOff>1247775</xdr:colOff>
      <xdr:row>152</xdr:row>
      <xdr:rowOff>0</xdr:rowOff>
    </xdr:to>
    <xdr:graphicFrame macro="">
      <xdr:nvGraphicFramePr>
        <xdr:cNvPr id="22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2</xdr:col>
      <xdr:colOff>914400</xdr:colOff>
      <xdr:row>152</xdr:row>
      <xdr:rowOff>0</xdr:rowOff>
    </xdr:from>
    <xdr:to>
      <xdr:col>10</xdr:col>
      <xdr:colOff>1247775</xdr:colOff>
      <xdr:row>152</xdr:row>
      <xdr:rowOff>0</xdr:rowOff>
    </xdr:to>
    <xdr:graphicFrame macro="">
      <xdr:nvGraphicFramePr>
        <xdr:cNvPr id="22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2</xdr:col>
      <xdr:colOff>914400</xdr:colOff>
      <xdr:row>152</xdr:row>
      <xdr:rowOff>0</xdr:rowOff>
    </xdr:from>
    <xdr:to>
      <xdr:col>10</xdr:col>
      <xdr:colOff>1247775</xdr:colOff>
      <xdr:row>152</xdr:row>
      <xdr:rowOff>0</xdr:rowOff>
    </xdr:to>
    <xdr:graphicFrame macro="">
      <xdr:nvGraphicFramePr>
        <xdr:cNvPr id="23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2</xdr:col>
      <xdr:colOff>914400</xdr:colOff>
      <xdr:row>152</xdr:row>
      <xdr:rowOff>0</xdr:rowOff>
    </xdr:from>
    <xdr:to>
      <xdr:col>10</xdr:col>
      <xdr:colOff>1247775</xdr:colOff>
      <xdr:row>152</xdr:row>
      <xdr:rowOff>0</xdr:rowOff>
    </xdr:to>
    <xdr:graphicFrame macro="">
      <xdr:nvGraphicFramePr>
        <xdr:cNvPr id="23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2</xdr:col>
      <xdr:colOff>914400</xdr:colOff>
      <xdr:row>152</xdr:row>
      <xdr:rowOff>0</xdr:rowOff>
    </xdr:from>
    <xdr:to>
      <xdr:col>10</xdr:col>
      <xdr:colOff>1247775</xdr:colOff>
      <xdr:row>152</xdr:row>
      <xdr:rowOff>0</xdr:rowOff>
    </xdr:to>
    <xdr:graphicFrame macro="">
      <xdr:nvGraphicFramePr>
        <xdr:cNvPr id="23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2</xdr:col>
      <xdr:colOff>914400</xdr:colOff>
      <xdr:row>152</xdr:row>
      <xdr:rowOff>0</xdr:rowOff>
    </xdr:from>
    <xdr:to>
      <xdr:col>10</xdr:col>
      <xdr:colOff>1247775</xdr:colOff>
      <xdr:row>152</xdr:row>
      <xdr:rowOff>0</xdr:rowOff>
    </xdr:to>
    <xdr:graphicFrame macro="">
      <xdr:nvGraphicFramePr>
        <xdr:cNvPr id="23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2</xdr:col>
      <xdr:colOff>914400</xdr:colOff>
      <xdr:row>152</xdr:row>
      <xdr:rowOff>0</xdr:rowOff>
    </xdr:from>
    <xdr:to>
      <xdr:col>10</xdr:col>
      <xdr:colOff>1247775</xdr:colOff>
      <xdr:row>152</xdr:row>
      <xdr:rowOff>0</xdr:rowOff>
    </xdr:to>
    <xdr:graphicFrame macro="">
      <xdr:nvGraphicFramePr>
        <xdr:cNvPr id="23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2</xdr:col>
      <xdr:colOff>914400</xdr:colOff>
      <xdr:row>152</xdr:row>
      <xdr:rowOff>0</xdr:rowOff>
    </xdr:from>
    <xdr:to>
      <xdr:col>10</xdr:col>
      <xdr:colOff>1247775</xdr:colOff>
      <xdr:row>152</xdr:row>
      <xdr:rowOff>0</xdr:rowOff>
    </xdr:to>
    <xdr:graphicFrame macro="">
      <xdr:nvGraphicFramePr>
        <xdr:cNvPr id="23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2</xdr:col>
      <xdr:colOff>914400</xdr:colOff>
      <xdr:row>152</xdr:row>
      <xdr:rowOff>0</xdr:rowOff>
    </xdr:from>
    <xdr:to>
      <xdr:col>10</xdr:col>
      <xdr:colOff>1247775</xdr:colOff>
      <xdr:row>152</xdr:row>
      <xdr:rowOff>0</xdr:rowOff>
    </xdr:to>
    <xdr:graphicFrame macro="">
      <xdr:nvGraphicFramePr>
        <xdr:cNvPr id="23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2</xdr:col>
      <xdr:colOff>914400</xdr:colOff>
      <xdr:row>152</xdr:row>
      <xdr:rowOff>0</xdr:rowOff>
    </xdr:from>
    <xdr:to>
      <xdr:col>10</xdr:col>
      <xdr:colOff>1247775</xdr:colOff>
      <xdr:row>152</xdr:row>
      <xdr:rowOff>0</xdr:rowOff>
    </xdr:to>
    <xdr:graphicFrame macro="">
      <xdr:nvGraphicFramePr>
        <xdr:cNvPr id="23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2</xdr:col>
      <xdr:colOff>914400</xdr:colOff>
      <xdr:row>152</xdr:row>
      <xdr:rowOff>0</xdr:rowOff>
    </xdr:from>
    <xdr:to>
      <xdr:col>10</xdr:col>
      <xdr:colOff>1247775</xdr:colOff>
      <xdr:row>152</xdr:row>
      <xdr:rowOff>0</xdr:rowOff>
    </xdr:to>
    <xdr:graphicFrame macro="">
      <xdr:nvGraphicFramePr>
        <xdr:cNvPr id="23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2</xdr:col>
      <xdr:colOff>914400</xdr:colOff>
      <xdr:row>152</xdr:row>
      <xdr:rowOff>0</xdr:rowOff>
    </xdr:from>
    <xdr:to>
      <xdr:col>10</xdr:col>
      <xdr:colOff>1247775</xdr:colOff>
      <xdr:row>152</xdr:row>
      <xdr:rowOff>0</xdr:rowOff>
    </xdr:to>
    <xdr:graphicFrame macro="">
      <xdr:nvGraphicFramePr>
        <xdr:cNvPr id="23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2</xdr:col>
      <xdr:colOff>914400</xdr:colOff>
      <xdr:row>152</xdr:row>
      <xdr:rowOff>0</xdr:rowOff>
    </xdr:from>
    <xdr:to>
      <xdr:col>10</xdr:col>
      <xdr:colOff>1247775</xdr:colOff>
      <xdr:row>152</xdr:row>
      <xdr:rowOff>0</xdr:rowOff>
    </xdr:to>
    <xdr:graphicFrame macro="">
      <xdr:nvGraphicFramePr>
        <xdr:cNvPr id="24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2</xdr:col>
      <xdr:colOff>914400</xdr:colOff>
      <xdr:row>152</xdr:row>
      <xdr:rowOff>0</xdr:rowOff>
    </xdr:from>
    <xdr:to>
      <xdr:col>10</xdr:col>
      <xdr:colOff>1247775</xdr:colOff>
      <xdr:row>152</xdr:row>
      <xdr:rowOff>0</xdr:rowOff>
    </xdr:to>
    <xdr:graphicFrame macro="">
      <xdr:nvGraphicFramePr>
        <xdr:cNvPr id="24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2</xdr:col>
      <xdr:colOff>914400</xdr:colOff>
      <xdr:row>152</xdr:row>
      <xdr:rowOff>0</xdr:rowOff>
    </xdr:from>
    <xdr:to>
      <xdr:col>10</xdr:col>
      <xdr:colOff>1247775</xdr:colOff>
      <xdr:row>152</xdr:row>
      <xdr:rowOff>0</xdr:rowOff>
    </xdr:to>
    <xdr:graphicFrame macro="">
      <xdr:nvGraphicFramePr>
        <xdr:cNvPr id="24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2</xdr:col>
      <xdr:colOff>914400</xdr:colOff>
      <xdr:row>152</xdr:row>
      <xdr:rowOff>0</xdr:rowOff>
    </xdr:from>
    <xdr:to>
      <xdr:col>10</xdr:col>
      <xdr:colOff>1247775</xdr:colOff>
      <xdr:row>152</xdr:row>
      <xdr:rowOff>0</xdr:rowOff>
    </xdr:to>
    <xdr:graphicFrame macro="">
      <xdr:nvGraphicFramePr>
        <xdr:cNvPr id="24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2</xdr:col>
      <xdr:colOff>914400</xdr:colOff>
      <xdr:row>152</xdr:row>
      <xdr:rowOff>0</xdr:rowOff>
    </xdr:from>
    <xdr:to>
      <xdr:col>10</xdr:col>
      <xdr:colOff>1247775</xdr:colOff>
      <xdr:row>152</xdr:row>
      <xdr:rowOff>0</xdr:rowOff>
    </xdr:to>
    <xdr:graphicFrame macro="">
      <xdr:nvGraphicFramePr>
        <xdr:cNvPr id="24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2</xdr:col>
      <xdr:colOff>914400</xdr:colOff>
      <xdr:row>152</xdr:row>
      <xdr:rowOff>0</xdr:rowOff>
    </xdr:from>
    <xdr:to>
      <xdr:col>10</xdr:col>
      <xdr:colOff>1247775</xdr:colOff>
      <xdr:row>152</xdr:row>
      <xdr:rowOff>0</xdr:rowOff>
    </xdr:to>
    <xdr:graphicFrame macro="">
      <xdr:nvGraphicFramePr>
        <xdr:cNvPr id="24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2</xdr:col>
      <xdr:colOff>914400</xdr:colOff>
      <xdr:row>152</xdr:row>
      <xdr:rowOff>0</xdr:rowOff>
    </xdr:from>
    <xdr:to>
      <xdr:col>10</xdr:col>
      <xdr:colOff>1247775</xdr:colOff>
      <xdr:row>152</xdr:row>
      <xdr:rowOff>0</xdr:rowOff>
    </xdr:to>
    <xdr:graphicFrame macro="">
      <xdr:nvGraphicFramePr>
        <xdr:cNvPr id="24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2</xdr:col>
      <xdr:colOff>914400</xdr:colOff>
      <xdr:row>152</xdr:row>
      <xdr:rowOff>0</xdr:rowOff>
    </xdr:from>
    <xdr:to>
      <xdr:col>10</xdr:col>
      <xdr:colOff>1247775</xdr:colOff>
      <xdr:row>152</xdr:row>
      <xdr:rowOff>0</xdr:rowOff>
    </xdr:to>
    <xdr:graphicFrame macro="">
      <xdr:nvGraphicFramePr>
        <xdr:cNvPr id="24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2</xdr:col>
      <xdr:colOff>1152525</xdr:colOff>
      <xdr:row>160</xdr:row>
      <xdr:rowOff>0</xdr:rowOff>
    </xdr:from>
    <xdr:to>
      <xdr:col>11</xdr:col>
      <xdr:colOff>234950</xdr:colOff>
      <xdr:row>172</xdr:row>
      <xdr:rowOff>15875</xdr:rowOff>
    </xdr:to>
    <xdr:graphicFrame macro="">
      <xdr:nvGraphicFramePr>
        <xdr:cNvPr id="24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2</xdr:col>
      <xdr:colOff>914400</xdr:colOff>
      <xdr:row>221</xdr:row>
      <xdr:rowOff>0</xdr:rowOff>
    </xdr:from>
    <xdr:to>
      <xdr:col>10</xdr:col>
      <xdr:colOff>1247775</xdr:colOff>
      <xdr:row>221</xdr:row>
      <xdr:rowOff>0</xdr:rowOff>
    </xdr:to>
    <xdr:graphicFrame macro="">
      <xdr:nvGraphicFramePr>
        <xdr:cNvPr id="24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2</xdr:col>
      <xdr:colOff>914400</xdr:colOff>
      <xdr:row>221</xdr:row>
      <xdr:rowOff>0</xdr:rowOff>
    </xdr:from>
    <xdr:to>
      <xdr:col>10</xdr:col>
      <xdr:colOff>1247775</xdr:colOff>
      <xdr:row>221</xdr:row>
      <xdr:rowOff>0</xdr:rowOff>
    </xdr:to>
    <xdr:graphicFrame macro="">
      <xdr:nvGraphicFramePr>
        <xdr:cNvPr id="25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2</xdr:col>
      <xdr:colOff>914400</xdr:colOff>
      <xdr:row>221</xdr:row>
      <xdr:rowOff>0</xdr:rowOff>
    </xdr:from>
    <xdr:to>
      <xdr:col>10</xdr:col>
      <xdr:colOff>1247775</xdr:colOff>
      <xdr:row>221</xdr:row>
      <xdr:rowOff>0</xdr:rowOff>
    </xdr:to>
    <xdr:graphicFrame macro="">
      <xdr:nvGraphicFramePr>
        <xdr:cNvPr id="25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2</xdr:col>
      <xdr:colOff>914400</xdr:colOff>
      <xdr:row>221</xdr:row>
      <xdr:rowOff>0</xdr:rowOff>
    </xdr:from>
    <xdr:to>
      <xdr:col>10</xdr:col>
      <xdr:colOff>1247775</xdr:colOff>
      <xdr:row>221</xdr:row>
      <xdr:rowOff>0</xdr:rowOff>
    </xdr:to>
    <xdr:graphicFrame macro="">
      <xdr:nvGraphicFramePr>
        <xdr:cNvPr id="25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2</xdr:col>
      <xdr:colOff>914400</xdr:colOff>
      <xdr:row>221</xdr:row>
      <xdr:rowOff>0</xdr:rowOff>
    </xdr:from>
    <xdr:to>
      <xdr:col>10</xdr:col>
      <xdr:colOff>1247775</xdr:colOff>
      <xdr:row>221</xdr:row>
      <xdr:rowOff>0</xdr:rowOff>
    </xdr:to>
    <xdr:graphicFrame macro="">
      <xdr:nvGraphicFramePr>
        <xdr:cNvPr id="25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2</xdr:col>
      <xdr:colOff>914400</xdr:colOff>
      <xdr:row>221</xdr:row>
      <xdr:rowOff>0</xdr:rowOff>
    </xdr:from>
    <xdr:to>
      <xdr:col>10</xdr:col>
      <xdr:colOff>1247775</xdr:colOff>
      <xdr:row>221</xdr:row>
      <xdr:rowOff>0</xdr:rowOff>
    </xdr:to>
    <xdr:graphicFrame macro="">
      <xdr:nvGraphicFramePr>
        <xdr:cNvPr id="25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2</xdr:col>
      <xdr:colOff>914400</xdr:colOff>
      <xdr:row>221</xdr:row>
      <xdr:rowOff>0</xdr:rowOff>
    </xdr:from>
    <xdr:to>
      <xdr:col>10</xdr:col>
      <xdr:colOff>1247775</xdr:colOff>
      <xdr:row>221</xdr:row>
      <xdr:rowOff>0</xdr:rowOff>
    </xdr:to>
    <xdr:graphicFrame macro="">
      <xdr:nvGraphicFramePr>
        <xdr:cNvPr id="25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2</xdr:col>
      <xdr:colOff>914400</xdr:colOff>
      <xdr:row>221</xdr:row>
      <xdr:rowOff>0</xdr:rowOff>
    </xdr:from>
    <xdr:to>
      <xdr:col>10</xdr:col>
      <xdr:colOff>1247775</xdr:colOff>
      <xdr:row>221</xdr:row>
      <xdr:rowOff>0</xdr:rowOff>
    </xdr:to>
    <xdr:graphicFrame macro="">
      <xdr:nvGraphicFramePr>
        <xdr:cNvPr id="25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2</xdr:col>
      <xdr:colOff>914400</xdr:colOff>
      <xdr:row>221</xdr:row>
      <xdr:rowOff>0</xdr:rowOff>
    </xdr:from>
    <xdr:to>
      <xdr:col>10</xdr:col>
      <xdr:colOff>1247775</xdr:colOff>
      <xdr:row>221</xdr:row>
      <xdr:rowOff>0</xdr:rowOff>
    </xdr:to>
    <xdr:graphicFrame macro="">
      <xdr:nvGraphicFramePr>
        <xdr:cNvPr id="25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2</xdr:col>
      <xdr:colOff>914400</xdr:colOff>
      <xdr:row>221</xdr:row>
      <xdr:rowOff>0</xdr:rowOff>
    </xdr:from>
    <xdr:to>
      <xdr:col>10</xdr:col>
      <xdr:colOff>1247775</xdr:colOff>
      <xdr:row>221</xdr:row>
      <xdr:rowOff>0</xdr:rowOff>
    </xdr:to>
    <xdr:graphicFrame macro="">
      <xdr:nvGraphicFramePr>
        <xdr:cNvPr id="25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2</xdr:col>
      <xdr:colOff>914400</xdr:colOff>
      <xdr:row>221</xdr:row>
      <xdr:rowOff>0</xdr:rowOff>
    </xdr:from>
    <xdr:to>
      <xdr:col>10</xdr:col>
      <xdr:colOff>1247775</xdr:colOff>
      <xdr:row>221</xdr:row>
      <xdr:rowOff>0</xdr:rowOff>
    </xdr:to>
    <xdr:graphicFrame macro="">
      <xdr:nvGraphicFramePr>
        <xdr:cNvPr id="25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2</xdr:col>
      <xdr:colOff>914400</xdr:colOff>
      <xdr:row>221</xdr:row>
      <xdr:rowOff>0</xdr:rowOff>
    </xdr:from>
    <xdr:to>
      <xdr:col>10</xdr:col>
      <xdr:colOff>1247775</xdr:colOff>
      <xdr:row>221</xdr:row>
      <xdr:rowOff>0</xdr:rowOff>
    </xdr:to>
    <xdr:graphicFrame macro="">
      <xdr:nvGraphicFramePr>
        <xdr:cNvPr id="26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2</xdr:col>
      <xdr:colOff>914400</xdr:colOff>
      <xdr:row>221</xdr:row>
      <xdr:rowOff>0</xdr:rowOff>
    </xdr:from>
    <xdr:to>
      <xdr:col>10</xdr:col>
      <xdr:colOff>1247775</xdr:colOff>
      <xdr:row>221</xdr:row>
      <xdr:rowOff>0</xdr:rowOff>
    </xdr:to>
    <xdr:graphicFrame macro="">
      <xdr:nvGraphicFramePr>
        <xdr:cNvPr id="26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2</xdr:col>
      <xdr:colOff>914400</xdr:colOff>
      <xdr:row>221</xdr:row>
      <xdr:rowOff>0</xdr:rowOff>
    </xdr:from>
    <xdr:to>
      <xdr:col>10</xdr:col>
      <xdr:colOff>1247775</xdr:colOff>
      <xdr:row>221</xdr:row>
      <xdr:rowOff>0</xdr:rowOff>
    </xdr:to>
    <xdr:graphicFrame macro="">
      <xdr:nvGraphicFramePr>
        <xdr:cNvPr id="26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2</xdr:col>
      <xdr:colOff>914400</xdr:colOff>
      <xdr:row>221</xdr:row>
      <xdr:rowOff>0</xdr:rowOff>
    </xdr:from>
    <xdr:to>
      <xdr:col>10</xdr:col>
      <xdr:colOff>1247775</xdr:colOff>
      <xdr:row>221</xdr:row>
      <xdr:rowOff>0</xdr:rowOff>
    </xdr:to>
    <xdr:graphicFrame macro="">
      <xdr:nvGraphicFramePr>
        <xdr:cNvPr id="26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2</xdr:col>
      <xdr:colOff>914400</xdr:colOff>
      <xdr:row>221</xdr:row>
      <xdr:rowOff>0</xdr:rowOff>
    </xdr:from>
    <xdr:to>
      <xdr:col>10</xdr:col>
      <xdr:colOff>1247775</xdr:colOff>
      <xdr:row>221</xdr:row>
      <xdr:rowOff>0</xdr:rowOff>
    </xdr:to>
    <xdr:graphicFrame macro="">
      <xdr:nvGraphicFramePr>
        <xdr:cNvPr id="26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2</xdr:col>
      <xdr:colOff>914400</xdr:colOff>
      <xdr:row>221</xdr:row>
      <xdr:rowOff>0</xdr:rowOff>
    </xdr:from>
    <xdr:to>
      <xdr:col>10</xdr:col>
      <xdr:colOff>1247775</xdr:colOff>
      <xdr:row>221</xdr:row>
      <xdr:rowOff>0</xdr:rowOff>
    </xdr:to>
    <xdr:graphicFrame macro="">
      <xdr:nvGraphicFramePr>
        <xdr:cNvPr id="26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2</xdr:col>
      <xdr:colOff>914400</xdr:colOff>
      <xdr:row>221</xdr:row>
      <xdr:rowOff>0</xdr:rowOff>
    </xdr:from>
    <xdr:to>
      <xdr:col>10</xdr:col>
      <xdr:colOff>1247775</xdr:colOff>
      <xdr:row>221</xdr:row>
      <xdr:rowOff>0</xdr:rowOff>
    </xdr:to>
    <xdr:graphicFrame macro="">
      <xdr:nvGraphicFramePr>
        <xdr:cNvPr id="26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2</xdr:col>
      <xdr:colOff>914400</xdr:colOff>
      <xdr:row>221</xdr:row>
      <xdr:rowOff>0</xdr:rowOff>
    </xdr:from>
    <xdr:to>
      <xdr:col>10</xdr:col>
      <xdr:colOff>1247775</xdr:colOff>
      <xdr:row>221</xdr:row>
      <xdr:rowOff>0</xdr:rowOff>
    </xdr:to>
    <xdr:graphicFrame macro="">
      <xdr:nvGraphicFramePr>
        <xdr:cNvPr id="26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2</xdr:col>
      <xdr:colOff>914400</xdr:colOff>
      <xdr:row>221</xdr:row>
      <xdr:rowOff>0</xdr:rowOff>
    </xdr:from>
    <xdr:to>
      <xdr:col>10</xdr:col>
      <xdr:colOff>1247775</xdr:colOff>
      <xdr:row>221</xdr:row>
      <xdr:rowOff>0</xdr:rowOff>
    </xdr:to>
    <xdr:graphicFrame macro="">
      <xdr:nvGraphicFramePr>
        <xdr:cNvPr id="26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2</xdr:col>
      <xdr:colOff>914400</xdr:colOff>
      <xdr:row>221</xdr:row>
      <xdr:rowOff>0</xdr:rowOff>
    </xdr:from>
    <xdr:to>
      <xdr:col>10</xdr:col>
      <xdr:colOff>1247775</xdr:colOff>
      <xdr:row>221</xdr:row>
      <xdr:rowOff>0</xdr:rowOff>
    </xdr:to>
    <xdr:graphicFrame macro="">
      <xdr:nvGraphicFramePr>
        <xdr:cNvPr id="26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2</xdr:col>
      <xdr:colOff>914400</xdr:colOff>
      <xdr:row>221</xdr:row>
      <xdr:rowOff>0</xdr:rowOff>
    </xdr:from>
    <xdr:to>
      <xdr:col>10</xdr:col>
      <xdr:colOff>1247775</xdr:colOff>
      <xdr:row>221</xdr:row>
      <xdr:rowOff>0</xdr:rowOff>
    </xdr:to>
    <xdr:graphicFrame macro="">
      <xdr:nvGraphicFramePr>
        <xdr:cNvPr id="27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2</xdr:col>
      <xdr:colOff>914400</xdr:colOff>
      <xdr:row>221</xdr:row>
      <xdr:rowOff>0</xdr:rowOff>
    </xdr:from>
    <xdr:to>
      <xdr:col>10</xdr:col>
      <xdr:colOff>1247775</xdr:colOff>
      <xdr:row>221</xdr:row>
      <xdr:rowOff>0</xdr:rowOff>
    </xdr:to>
    <xdr:graphicFrame macro="">
      <xdr:nvGraphicFramePr>
        <xdr:cNvPr id="27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2</xdr:col>
      <xdr:colOff>914400</xdr:colOff>
      <xdr:row>221</xdr:row>
      <xdr:rowOff>0</xdr:rowOff>
    </xdr:from>
    <xdr:to>
      <xdr:col>10</xdr:col>
      <xdr:colOff>1247775</xdr:colOff>
      <xdr:row>221</xdr:row>
      <xdr:rowOff>0</xdr:rowOff>
    </xdr:to>
    <xdr:graphicFrame macro="">
      <xdr:nvGraphicFramePr>
        <xdr:cNvPr id="27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2</xdr:col>
      <xdr:colOff>914400</xdr:colOff>
      <xdr:row>221</xdr:row>
      <xdr:rowOff>0</xdr:rowOff>
    </xdr:from>
    <xdr:to>
      <xdr:col>10</xdr:col>
      <xdr:colOff>1247775</xdr:colOff>
      <xdr:row>221</xdr:row>
      <xdr:rowOff>0</xdr:rowOff>
    </xdr:to>
    <xdr:graphicFrame macro="">
      <xdr:nvGraphicFramePr>
        <xdr:cNvPr id="27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2</xdr:col>
      <xdr:colOff>914400</xdr:colOff>
      <xdr:row>221</xdr:row>
      <xdr:rowOff>0</xdr:rowOff>
    </xdr:from>
    <xdr:to>
      <xdr:col>10</xdr:col>
      <xdr:colOff>1247775</xdr:colOff>
      <xdr:row>221</xdr:row>
      <xdr:rowOff>0</xdr:rowOff>
    </xdr:to>
    <xdr:graphicFrame macro="">
      <xdr:nvGraphicFramePr>
        <xdr:cNvPr id="27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2</xdr:col>
      <xdr:colOff>914400</xdr:colOff>
      <xdr:row>221</xdr:row>
      <xdr:rowOff>0</xdr:rowOff>
    </xdr:from>
    <xdr:to>
      <xdr:col>10</xdr:col>
      <xdr:colOff>1247775</xdr:colOff>
      <xdr:row>221</xdr:row>
      <xdr:rowOff>0</xdr:rowOff>
    </xdr:to>
    <xdr:graphicFrame macro="">
      <xdr:nvGraphicFramePr>
        <xdr:cNvPr id="27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2</xdr:col>
      <xdr:colOff>914400</xdr:colOff>
      <xdr:row>221</xdr:row>
      <xdr:rowOff>0</xdr:rowOff>
    </xdr:from>
    <xdr:to>
      <xdr:col>10</xdr:col>
      <xdr:colOff>1247775</xdr:colOff>
      <xdr:row>221</xdr:row>
      <xdr:rowOff>0</xdr:rowOff>
    </xdr:to>
    <xdr:graphicFrame macro="">
      <xdr:nvGraphicFramePr>
        <xdr:cNvPr id="27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2</xdr:col>
      <xdr:colOff>914400</xdr:colOff>
      <xdr:row>221</xdr:row>
      <xdr:rowOff>0</xdr:rowOff>
    </xdr:from>
    <xdr:to>
      <xdr:col>10</xdr:col>
      <xdr:colOff>1247775</xdr:colOff>
      <xdr:row>221</xdr:row>
      <xdr:rowOff>0</xdr:rowOff>
    </xdr:to>
    <xdr:graphicFrame macro="">
      <xdr:nvGraphicFramePr>
        <xdr:cNvPr id="27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2</xdr:col>
      <xdr:colOff>914400</xdr:colOff>
      <xdr:row>221</xdr:row>
      <xdr:rowOff>0</xdr:rowOff>
    </xdr:from>
    <xdr:to>
      <xdr:col>10</xdr:col>
      <xdr:colOff>1247775</xdr:colOff>
      <xdr:row>221</xdr:row>
      <xdr:rowOff>0</xdr:rowOff>
    </xdr:to>
    <xdr:graphicFrame macro="">
      <xdr:nvGraphicFramePr>
        <xdr:cNvPr id="27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2</xdr:col>
      <xdr:colOff>914400</xdr:colOff>
      <xdr:row>221</xdr:row>
      <xdr:rowOff>0</xdr:rowOff>
    </xdr:from>
    <xdr:to>
      <xdr:col>10</xdr:col>
      <xdr:colOff>1247775</xdr:colOff>
      <xdr:row>221</xdr:row>
      <xdr:rowOff>0</xdr:rowOff>
    </xdr:to>
    <xdr:graphicFrame macro="">
      <xdr:nvGraphicFramePr>
        <xdr:cNvPr id="27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2</xdr:col>
      <xdr:colOff>914400</xdr:colOff>
      <xdr:row>221</xdr:row>
      <xdr:rowOff>0</xdr:rowOff>
    </xdr:from>
    <xdr:to>
      <xdr:col>10</xdr:col>
      <xdr:colOff>1247775</xdr:colOff>
      <xdr:row>221</xdr:row>
      <xdr:rowOff>0</xdr:rowOff>
    </xdr:to>
    <xdr:graphicFrame macro="">
      <xdr:nvGraphicFramePr>
        <xdr:cNvPr id="28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2</xdr:col>
      <xdr:colOff>914400</xdr:colOff>
      <xdr:row>221</xdr:row>
      <xdr:rowOff>0</xdr:rowOff>
    </xdr:from>
    <xdr:to>
      <xdr:col>10</xdr:col>
      <xdr:colOff>1247775</xdr:colOff>
      <xdr:row>221</xdr:row>
      <xdr:rowOff>0</xdr:rowOff>
    </xdr:to>
    <xdr:graphicFrame macro="">
      <xdr:nvGraphicFramePr>
        <xdr:cNvPr id="28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2</xdr:col>
      <xdr:colOff>914400</xdr:colOff>
      <xdr:row>221</xdr:row>
      <xdr:rowOff>0</xdr:rowOff>
    </xdr:from>
    <xdr:to>
      <xdr:col>10</xdr:col>
      <xdr:colOff>1247775</xdr:colOff>
      <xdr:row>221</xdr:row>
      <xdr:rowOff>0</xdr:rowOff>
    </xdr:to>
    <xdr:graphicFrame macro="">
      <xdr:nvGraphicFramePr>
        <xdr:cNvPr id="28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2</xdr:col>
      <xdr:colOff>914400</xdr:colOff>
      <xdr:row>221</xdr:row>
      <xdr:rowOff>0</xdr:rowOff>
    </xdr:from>
    <xdr:to>
      <xdr:col>10</xdr:col>
      <xdr:colOff>1247775</xdr:colOff>
      <xdr:row>221</xdr:row>
      <xdr:rowOff>0</xdr:rowOff>
    </xdr:to>
    <xdr:graphicFrame macro="">
      <xdr:nvGraphicFramePr>
        <xdr:cNvPr id="28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2</xdr:col>
      <xdr:colOff>914400</xdr:colOff>
      <xdr:row>221</xdr:row>
      <xdr:rowOff>0</xdr:rowOff>
    </xdr:from>
    <xdr:to>
      <xdr:col>10</xdr:col>
      <xdr:colOff>1247775</xdr:colOff>
      <xdr:row>221</xdr:row>
      <xdr:rowOff>0</xdr:rowOff>
    </xdr:to>
    <xdr:graphicFrame macro="">
      <xdr:nvGraphicFramePr>
        <xdr:cNvPr id="28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2</xdr:col>
      <xdr:colOff>914400</xdr:colOff>
      <xdr:row>221</xdr:row>
      <xdr:rowOff>0</xdr:rowOff>
    </xdr:from>
    <xdr:to>
      <xdr:col>10</xdr:col>
      <xdr:colOff>1247775</xdr:colOff>
      <xdr:row>221</xdr:row>
      <xdr:rowOff>0</xdr:rowOff>
    </xdr:to>
    <xdr:graphicFrame macro="">
      <xdr:nvGraphicFramePr>
        <xdr:cNvPr id="28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2</xdr:col>
      <xdr:colOff>914400</xdr:colOff>
      <xdr:row>221</xdr:row>
      <xdr:rowOff>0</xdr:rowOff>
    </xdr:from>
    <xdr:to>
      <xdr:col>10</xdr:col>
      <xdr:colOff>1247775</xdr:colOff>
      <xdr:row>221</xdr:row>
      <xdr:rowOff>0</xdr:rowOff>
    </xdr:to>
    <xdr:graphicFrame macro="">
      <xdr:nvGraphicFramePr>
        <xdr:cNvPr id="28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2</xdr:col>
      <xdr:colOff>914400</xdr:colOff>
      <xdr:row>221</xdr:row>
      <xdr:rowOff>0</xdr:rowOff>
    </xdr:from>
    <xdr:to>
      <xdr:col>10</xdr:col>
      <xdr:colOff>1247775</xdr:colOff>
      <xdr:row>221</xdr:row>
      <xdr:rowOff>0</xdr:rowOff>
    </xdr:to>
    <xdr:graphicFrame macro="">
      <xdr:nvGraphicFramePr>
        <xdr:cNvPr id="28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2</xdr:col>
      <xdr:colOff>914400</xdr:colOff>
      <xdr:row>221</xdr:row>
      <xdr:rowOff>0</xdr:rowOff>
    </xdr:from>
    <xdr:to>
      <xdr:col>10</xdr:col>
      <xdr:colOff>1247775</xdr:colOff>
      <xdr:row>221</xdr:row>
      <xdr:rowOff>0</xdr:rowOff>
    </xdr:to>
    <xdr:graphicFrame macro="">
      <xdr:nvGraphicFramePr>
        <xdr:cNvPr id="28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2</xdr:col>
      <xdr:colOff>914400</xdr:colOff>
      <xdr:row>221</xdr:row>
      <xdr:rowOff>0</xdr:rowOff>
    </xdr:from>
    <xdr:to>
      <xdr:col>10</xdr:col>
      <xdr:colOff>1247775</xdr:colOff>
      <xdr:row>221</xdr:row>
      <xdr:rowOff>0</xdr:rowOff>
    </xdr:to>
    <xdr:graphicFrame macro="">
      <xdr:nvGraphicFramePr>
        <xdr:cNvPr id="28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2</xdr:col>
      <xdr:colOff>914400</xdr:colOff>
      <xdr:row>221</xdr:row>
      <xdr:rowOff>0</xdr:rowOff>
    </xdr:from>
    <xdr:to>
      <xdr:col>10</xdr:col>
      <xdr:colOff>1247775</xdr:colOff>
      <xdr:row>221</xdr:row>
      <xdr:rowOff>0</xdr:rowOff>
    </xdr:to>
    <xdr:graphicFrame macro="">
      <xdr:nvGraphicFramePr>
        <xdr:cNvPr id="29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2</xdr:col>
      <xdr:colOff>914400</xdr:colOff>
      <xdr:row>221</xdr:row>
      <xdr:rowOff>0</xdr:rowOff>
    </xdr:from>
    <xdr:to>
      <xdr:col>10</xdr:col>
      <xdr:colOff>1247775</xdr:colOff>
      <xdr:row>221</xdr:row>
      <xdr:rowOff>0</xdr:rowOff>
    </xdr:to>
    <xdr:graphicFrame macro="">
      <xdr:nvGraphicFramePr>
        <xdr:cNvPr id="29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2</xdr:col>
      <xdr:colOff>1168400</xdr:colOff>
      <xdr:row>228</xdr:row>
      <xdr:rowOff>190500</xdr:rowOff>
    </xdr:from>
    <xdr:to>
      <xdr:col>11</xdr:col>
      <xdr:colOff>250825</xdr:colOff>
      <xdr:row>241</xdr:row>
      <xdr:rowOff>0</xdr:rowOff>
    </xdr:to>
    <xdr:graphicFrame macro="">
      <xdr:nvGraphicFramePr>
        <xdr:cNvPr id="29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2</xdr:col>
      <xdr:colOff>914400</xdr:colOff>
      <xdr:row>362</xdr:row>
      <xdr:rowOff>0</xdr:rowOff>
    </xdr:from>
    <xdr:to>
      <xdr:col>10</xdr:col>
      <xdr:colOff>1247775</xdr:colOff>
      <xdr:row>362</xdr:row>
      <xdr:rowOff>0</xdr:rowOff>
    </xdr:to>
    <xdr:graphicFrame macro="">
      <xdr:nvGraphicFramePr>
        <xdr:cNvPr id="29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2</xdr:col>
      <xdr:colOff>914400</xdr:colOff>
      <xdr:row>362</xdr:row>
      <xdr:rowOff>0</xdr:rowOff>
    </xdr:from>
    <xdr:to>
      <xdr:col>10</xdr:col>
      <xdr:colOff>1247775</xdr:colOff>
      <xdr:row>362</xdr:row>
      <xdr:rowOff>0</xdr:rowOff>
    </xdr:to>
    <xdr:graphicFrame macro="">
      <xdr:nvGraphicFramePr>
        <xdr:cNvPr id="29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2</xdr:col>
      <xdr:colOff>914400</xdr:colOff>
      <xdr:row>362</xdr:row>
      <xdr:rowOff>0</xdr:rowOff>
    </xdr:from>
    <xdr:to>
      <xdr:col>10</xdr:col>
      <xdr:colOff>1247775</xdr:colOff>
      <xdr:row>362</xdr:row>
      <xdr:rowOff>0</xdr:rowOff>
    </xdr:to>
    <xdr:graphicFrame macro="">
      <xdr:nvGraphicFramePr>
        <xdr:cNvPr id="29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2</xdr:col>
      <xdr:colOff>914400</xdr:colOff>
      <xdr:row>362</xdr:row>
      <xdr:rowOff>0</xdr:rowOff>
    </xdr:from>
    <xdr:to>
      <xdr:col>10</xdr:col>
      <xdr:colOff>1247775</xdr:colOff>
      <xdr:row>362</xdr:row>
      <xdr:rowOff>0</xdr:rowOff>
    </xdr:to>
    <xdr:graphicFrame macro="">
      <xdr:nvGraphicFramePr>
        <xdr:cNvPr id="29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2</xdr:col>
      <xdr:colOff>914400</xdr:colOff>
      <xdr:row>362</xdr:row>
      <xdr:rowOff>0</xdr:rowOff>
    </xdr:from>
    <xdr:to>
      <xdr:col>10</xdr:col>
      <xdr:colOff>1247775</xdr:colOff>
      <xdr:row>362</xdr:row>
      <xdr:rowOff>0</xdr:rowOff>
    </xdr:to>
    <xdr:graphicFrame macro="">
      <xdr:nvGraphicFramePr>
        <xdr:cNvPr id="29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2</xdr:col>
      <xdr:colOff>914400</xdr:colOff>
      <xdr:row>362</xdr:row>
      <xdr:rowOff>0</xdr:rowOff>
    </xdr:from>
    <xdr:to>
      <xdr:col>10</xdr:col>
      <xdr:colOff>1247775</xdr:colOff>
      <xdr:row>362</xdr:row>
      <xdr:rowOff>0</xdr:rowOff>
    </xdr:to>
    <xdr:graphicFrame macro="">
      <xdr:nvGraphicFramePr>
        <xdr:cNvPr id="29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2</xdr:col>
      <xdr:colOff>914400</xdr:colOff>
      <xdr:row>362</xdr:row>
      <xdr:rowOff>0</xdr:rowOff>
    </xdr:from>
    <xdr:to>
      <xdr:col>10</xdr:col>
      <xdr:colOff>1247775</xdr:colOff>
      <xdr:row>362</xdr:row>
      <xdr:rowOff>0</xdr:rowOff>
    </xdr:to>
    <xdr:graphicFrame macro="">
      <xdr:nvGraphicFramePr>
        <xdr:cNvPr id="29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2</xdr:col>
      <xdr:colOff>914400</xdr:colOff>
      <xdr:row>362</xdr:row>
      <xdr:rowOff>0</xdr:rowOff>
    </xdr:from>
    <xdr:to>
      <xdr:col>10</xdr:col>
      <xdr:colOff>1247775</xdr:colOff>
      <xdr:row>362</xdr:row>
      <xdr:rowOff>0</xdr:rowOff>
    </xdr:to>
    <xdr:graphicFrame macro="">
      <xdr:nvGraphicFramePr>
        <xdr:cNvPr id="30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2</xdr:col>
      <xdr:colOff>914400</xdr:colOff>
      <xdr:row>362</xdr:row>
      <xdr:rowOff>0</xdr:rowOff>
    </xdr:from>
    <xdr:to>
      <xdr:col>10</xdr:col>
      <xdr:colOff>1247775</xdr:colOff>
      <xdr:row>362</xdr:row>
      <xdr:rowOff>0</xdr:rowOff>
    </xdr:to>
    <xdr:graphicFrame macro="">
      <xdr:nvGraphicFramePr>
        <xdr:cNvPr id="30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2</xdr:col>
      <xdr:colOff>914400</xdr:colOff>
      <xdr:row>362</xdr:row>
      <xdr:rowOff>0</xdr:rowOff>
    </xdr:from>
    <xdr:to>
      <xdr:col>10</xdr:col>
      <xdr:colOff>1247775</xdr:colOff>
      <xdr:row>362</xdr:row>
      <xdr:rowOff>0</xdr:rowOff>
    </xdr:to>
    <xdr:graphicFrame macro="">
      <xdr:nvGraphicFramePr>
        <xdr:cNvPr id="30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2</xdr:col>
      <xdr:colOff>914400</xdr:colOff>
      <xdr:row>362</xdr:row>
      <xdr:rowOff>0</xdr:rowOff>
    </xdr:from>
    <xdr:to>
      <xdr:col>10</xdr:col>
      <xdr:colOff>1247775</xdr:colOff>
      <xdr:row>362</xdr:row>
      <xdr:rowOff>0</xdr:rowOff>
    </xdr:to>
    <xdr:graphicFrame macro="">
      <xdr:nvGraphicFramePr>
        <xdr:cNvPr id="30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2</xdr:col>
      <xdr:colOff>914400</xdr:colOff>
      <xdr:row>362</xdr:row>
      <xdr:rowOff>0</xdr:rowOff>
    </xdr:from>
    <xdr:to>
      <xdr:col>10</xdr:col>
      <xdr:colOff>1247775</xdr:colOff>
      <xdr:row>362</xdr:row>
      <xdr:rowOff>0</xdr:rowOff>
    </xdr:to>
    <xdr:graphicFrame macro="">
      <xdr:nvGraphicFramePr>
        <xdr:cNvPr id="30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2</xdr:col>
      <xdr:colOff>914400</xdr:colOff>
      <xdr:row>362</xdr:row>
      <xdr:rowOff>0</xdr:rowOff>
    </xdr:from>
    <xdr:to>
      <xdr:col>10</xdr:col>
      <xdr:colOff>1247775</xdr:colOff>
      <xdr:row>362</xdr:row>
      <xdr:rowOff>0</xdr:rowOff>
    </xdr:to>
    <xdr:graphicFrame macro="">
      <xdr:nvGraphicFramePr>
        <xdr:cNvPr id="30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2</xdr:col>
      <xdr:colOff>914400</xdr:colOff>
      <xdr:row>362</xdr:row>
      <xdr:rowOff>0</xdr:rowOff>
    </xdr:from>
    <xdr:to>
      <xdr:col>10</xdr:col>
      <xdr:colOff>1247775</xdr:colOff>
      <xdr:row>362</xdr:row>
      <xdr:rowOff>0</xdr:rowOff>
    </xdr:to>
    <xdr:graphicFrame macro="">
      <xdr:nvGraphicFramePr>
        <xdr:cNvPr id="30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2</xdr:col>
      <xdr:colOff>914400</xdr:colOff>
      <xdr:row>362</xdr:row>
      <xdr:rowOff>0</xdr:rowOff>
    </xdr:from>
    <xdr:to>
      <xdr:col>10</xdr:col>
      <xdr:colOff>1247775</xdr:colOff>
      <xdr:row>362</xdr:row>
      <xdr:rowOff>0</xdr:rowOff>
    </xdr:to>
    <xdr:graphicFrame macro="">
      <xdr:nvGraphicFramePr>
        <xdr:cNvPr id="30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2</xdr:col>
      <xdr:colOff>914400</xdr:colOff>
      <xdr:row>362</xdr:row>
      <xdr:rowOff>0</xdr:rowOff>
    </xdr:from>
    <xdr:to>
      <xdr:col>10</xdr:col>
      <xdr:colOff>1247775</xdr:colOff>
      <xdr:row>362</xdr:row>
      <xdr:rowOff>0</xdr:rowOff>
    </xdr:to>
    <xdr:graphicFrame macro="">
      <xdr:nvGraphicFramePr>
        <xdr:cNvPr id="30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2</xdr:col>
      <xdr:colOff>914400</xdr:colOff>
      <xdr:row>362</xdr:row>
      <xdr:rowOff>0</xdr:rowOff>
    </xdr:from>
    <xdr:to>
      <xdr:col>10</xdr:col>
      <xdr:colOff>1247775</xdr:colOff>
      <xdr:row>362</xdr:row>
      <xdr:rowOff>0</xdr:rowOff>
    </xdr:to>
    <xdr:graphicFrame macro="">
      <xdr:nvGraphicFramePr>
        <xdr:cNvPr id="30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2</xdr:col>
      <xdr:colOff>914400</xdr:colOff>
      <xdr:row>362</xdr:row>
      <xdr:rowOff>0</xdr:rowOff>
    </xdr:from>
    <xdr:to>
      <xdr:col>10</xdr:col>
      <xdr:colOff>1247775</xdr:colOff>
      <xdr:row>362</xdr:row>
      <xdr:rowOff>0</xdr:rowOff>
    </xdr:to>
    <xdr:graphicFrame macro="">
      <xdr:nvGraphicFramePr>
        <xdr:cNvPr id="31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2</xdr:col>
      <xdr:colOff>914400</xdr:colOff>
      <xdr:row>362</xdr:row>
      <xdr:rowOff>0</xdr:rowOff>
    </xdr:from>
    <xdr:to>
      <xdr:col>10</xdr:col>
      <xdr:colOff>1247775</xdr:colOff>
      <xdr:row>362</xdr:row>
      <xdr:rowOff>0</xdr:rowOff>
    </xdr:to>
    <xdr:graphicFrame macro="">
      <xdr:nvGraphicFramePr>
        <xdr:cNvPr id="31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2</xdr:col>
      <xdr:colOff>914400</xdr:colOff>
      <xdr:row>362</xdr:row>
      <xdr:rowOff>0</xdr:rowOff>
    </xdr:from>
    <xdr:to>
      <xdr:col>10</xdr:col>
      <xdr:colOff>1247775</xdr:colOff>
      <xdr:row>362</xdr:row>
      <xdr:rowOff>0</xdr:rowOff>
    </xdr:to>
    <xdr:graphicFrame macro="">
      <xdr:nvGraphicFramePr>
        <xdr:cNvPr id="31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2</xdr:col>
      <xdr:colOff>914400</xdr:colOff>
      <xdr:row>362</xdr:row>
      <xdr:rowOff>0</xdr:rowOff>
    </xdr:from>
    <xdr:to>
      <xdr:col>10</xdr:col>
      <xdr:colOff>1247775</xdr:colOff>
      <xdr:row>362</xdr:row>
      <xdr:rowOff>0</xdr:rowOff>
    </xdr:to>
    <xdr:graphicFrame macro="">
      <xdr:nvGraphicFramePr>
        <xdr:cNvPr id="31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2</xdr:col>
      <xdr:colOff>914400</xdr:colOff>
      <xdr:row>362</xdr:row>
      <xdr:rowOff>0</xdr:rowOff>
    </xdr:from>
    <xdr:to>
      <xdr:col>10</xdr:col>
      <xdr:colOff>1247775</xdr:colOff>
      <xdr:row>362</xdr:row>
      <xdr:rowOff>0</xdr:rowOff>
    </xdr:to>
    <xdr:graphicFrame macro="">
      <xdr:nvGraphicFramePr>
        <xdr:cNvPr id="31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2</xdr:col>
      <xdr:colOff>914400</xdr:colOff>
      <xdr:row>362</xdr:row>
      <xdr:rowOff>0</xdr:rowOff>
    </xdr:from>
    <xdr:to>
      <xdr:col>10</xdr:col>
      <xdr:colOff>1247775</xdr:colOff>
      <xdr:row>362</xdr:row>
      <xdr:rowOff>0</xdr:rowOff>
    </xdr:to>
    <xdr:graphicFrame macro="">
      <xdr:nvGraphicFramePr>
        <xdr:cNvPr id="31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2</xdr:col>
      <xdr:colOff>914400</xdr:colOff>
      <xdr:row>362</xdr:row>
      <xdr:rowOff>0</xdr:rowOff>
    </xdr:from>
    <xdr:to>
      <xdr:col>10</xdr:col>
      <xdr:colOff>1247775</xdr:colOff>
      <xdr:row>362</xdr:row>
      <xdr:rowOff>0</xdr:rowOff>
    </xdr:to>
    <xdr:graphicFrame macro="">
      <xdr:nvGraphicFramePr>
        <xdr:cNvPr id="31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2</xdr:col>
      <xdr:colOff>914400</xdr:colOff>
      <xdr:row>362</xdr:row>
      <xdr:rowOff>0</xdr:rowOff>
    </xdr:from>
    <xdr:to>
      <xdr:col>10</xdr:col>
      <xdr:colOff>1247775</xdr:colOff>
      <xdr:row>362</xdr:row>
      <xdr:rowOff>0</xdr:rowOff>
    </xdr:to>
    <xdr:graphicFrame macro="">
      <xdr:nvGraphicFramePr>
        <xdr:cNvPr id="31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2</xdr:col>
      <xdr:colOff>914400</xdr:colOff>
      <xdr:row>362</xdr:row>
      <xdr:rowOff>0</xdr:rowOff>
    </xdr:from>
    <xdr:to>
      <xdr:col>10</xdr:col>
      <xdr:colOff>1247775</xdr:colOff>
      <xdr:row>362</xdr:row>
      <xdr:rowOff>0</xdr:rowOff>
    </xdr:to>
    <xdr:graphicFrame macro="">
      <xdr:nvGraphicFramePr>
        <xdr:cNvPr id="31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2</xdr:col>
      <xdr:colOff>914400</xdr:colOff>
      <xdr:row>362</xdr:row>
      <xdr:rowOff>0</xdr:rowOff>
    </xdr:from>
    <xdr:to>
      <xdr:col>10</xdr:col>
      <xdr:colOff>1247775</xdr:colOff>
      <xdr:row>362</xdr:row>
      <xdr:rowOff>0</xdr:rowOff>
    </xdr:to>
    <xdr:graphicFrame macro="">
      <xdr:nvGraphicFramePr>
        <xdr:cNvPr id="31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2</xdr:col>
      <xdr:colOff>914400</xdr:colOff>
      <xdr:row>362</xdr:row>
      <xdr:rowOff>0</xdr:rowOff>
    </xdr:from>
    <xdr:to>
      <xdr:col>10</xdr:col>
      <xdr:colOff>1247775</xdr:colOff>
      <xdr:row>362</xdr:row>
      <xdr:rowOff>0</xdr:rowOff>
    </xdr:to>
    <xdr:graphicFrame macro="">
      <xdr:nvGraphicFramePr>
        <xdr:cNvPr id="32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2</xdr:col>
      <xdr:colOff>914400</xdr:colOff>
      <xdr:row>362</xdr:row>
      <xdr:rowOff>0</xdr:rowOff>
    </xdr:from>
    <xdr:to>
      <xdr:col>10</xdr:col>
      <xdr:colOff>1247775</xdr:colOff>
      <xdr:row>362</xdr:row>
      <xdr:rowOff>0</xdr:rowOff>
    </xdr:to>
    <xdr:graphicFrame macro="">
      <xdr:nvGraphicFramePr>
        <xdr:cNvPr id="32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  <xdr:twoCellAnchor>
    <xdr:from>
      <xdr:col>2</xdr:col>
      <xdr:colOff>914400</xdr:colOff>
      <xdr:row>362</xdr:row>
      <xdr:rowOff>0</xdr:rowOff>
    </xdr:from>
    <xdr:to>
      <xdr:col>10</xdr:col>
      <xdr:colOff>1247775</xdr:colOff>
      <xdr:row>362</xdr:row>
      <xdr:rowOff>0</xdr:rowOff>
    </xdr:to>
    <xdr:graphicFrame macro="">
      <xdr:nvGraphicFramePr>
        <xdr:cNvPr id="32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1"/>
        </a:graphicData>
      </a:graphic>
    </xdr:graphicFrame>
    <xdr:clientData/>
  </xdr:twoCellAnchor>
  <xdr:twoCellAnchor>
    <xdr:from>
      <xdr:col>2</xdr:col>
      <xdr:colOff>914400</xdr:colOff>
      <xdr:row>362</xdr:row>
      <xdr:rowOff>0</xdr:rowOff>
    </xdr:from>
    <xdr:to>
      <xdr:col>10</xdr:col>
      <xdr:colOff>1247775</xdr:colOff>
      <xdr:row>362</xdr:row>
      <xdr:rowOff>0</xdr:rowOff>
    </xdr:to>
    <xdr:graphicFrame macro="">
      <xdr:nvGraphicFramePr>
        <xdr:cNvPr id="32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2"/>
        </a:graphicData>
      </a:graphic>
    </xdr:graphicFrame>
    <xdr:clientData/>
  </xdr:twoCellAnchor>
  <xdr:twoCellAnchor>
    <xdr:from>
      <xdr:col>2</xdr:col>
      <xdr:colOff>914400</xdr:colOff>
      <xdr:row>362</xdr:row>
      <xdr:rowOff>0</xdr:rowOff>
    </xdr:from>
    <xdr:to>
      <xdr:col>10</xdr:col>
      <xdr:colOff>1247775</xdr:colOff>
      <xdr:row>362</xdr:row>
      <xdr:rowOff>0</xdr:rowOff>
    </xdr:to>
    <xdr:graphicFrame macro="">
      <xdr:nvGraphicFramePr>
        <xdr:cNvPr id="32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3"/>
        </a:graphicData>
      </a:graphic>
    </xdr:graphicFrame>
    <xdr:clientData/>
  </xdr:twoCellAnchor>
  <xdr:twoCellAnchor>
    <xdr:from>
      <xdr:col>2</xdr:col>
      <xdr:colOff>914400</xdr:colOff>
      <xdr:row>362</xdr:row>
      <xdr:rowOff>0</xdr:rowOff>
    </xdr:from>
    <xdr:to>
      <xdr:col>10</xdr:col>
      <xdr:colOff>1247775</xdr:colOff>
      <xdr:row>362</xdr:row>
      <xdr:rowOff>0</xdr:rowOff>
    </xdr:to>
    <xdr:graphicFrame macro="">
      <xdr:nvGraphicFramePr>
        <xdr:cNvPr id="32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4"/>
        </a:graphicData>
      </a:graphic>
    </xdr:graphicFrame>
    <xdr:clientData/>
  </xdr:twoCellAnchor>
  <xdr:twoCellAnchor>
    <xdr:from>
      <xdr:col>2</xdr:col>
      <xdr:colOff>914400</xdr:colOff>
      <xdr:row>362</xdr:row>
      <xdr:rowOff>0</xdr:rowOff>
    </xdr:from>
    <xdr:to>
      <xdr:col>10</xdr:col>
      <xdr:colOff>1247775</xdr:colOff>
      <xdr:row>362</xdr:row>
      <xdr:rowOff>0</xdr:rowOff>
    </xdr:to>
    <xdr:graphicFrame macro="">
      <xdr:nvGraphicFramePr>
        <xdr:cNvPr id="32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5"/>
        </a:graphicData>
      </a:graphic>
    </xdr:graphicFrame>
    <xdr:clientData/>
  </xdr:twoCellAnchor>
  <xdr:twoCellAnchor>
    <xdr:from>
      <xdr:col>2</xdr:col>
      <xdr:colOff>914400</xdr:colOff>
      <xdr:row>362</xdr:row>
      <xdr:rowOff>0</xdr:rowOff>
    </xdr:from>
    <xdr:to>
      <xdr:col>10</xdr:col>
      <xdr:colOff>1247775</xdr:colOff>
      <xdr:row>362</xdr:row>
      <xdr:rowOff>0</xdr:rowOff>
    </xdr:to>
    <xdr:graphicFrame macro="">
      <xdr:nvGraphicFramePr>
        <xdr:cNvPr id="32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6"/>
        </a:graphicData>
      </a:graphic>
    </xdr:graphicFrame>
    <xdr:clientData/>
  </xdr:twoCellAnchor>
  <xdr:twoCellAnchor>
    <xdr:from>
      <xdr:col>2</xdr:col>
      <xdr:colOff>914400</xdr:colOff>
      <xdr:row>362</xdr:row>
      <xdr:rowOff>0</xdr:rowOff>
    </xdr:from>
    <xdr:to>
      <xdr:col>10</xdr:col>
      <xdr:colOff>1247775</xdr:colOff>
      <xdr:row>362</xdr:row>
      <xdr:rowOff>0</xdr:rowOff>
    </xdr:to>
    <xdr:graphicFrame macro="">
      <xdr:nvGraphicFramePr>
        <xdr:cNvPr id="32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7"/>
        </a:graphicData>
      </a:graphic>
    </xdr:graphicFrame>
    <xdr:clientData/>
  </xdr:twoCellAnchor>
  <xdr:twoCellAnchor>
    <xdr:from>
      <xdr:col>2</xdr:col>
      <xdr:colOff>914400</xdr:colOff>
      <xdr:row>362</xdr:row>
      <xdr:rowOff>0</xdr:rowOff>
    </xdr:from>
    <xdr:to>
      <xdr:col>10</xdr:col>
      <xdr:colOff>1247775</xdr:colOff>
      <xdr:row>362</xdr:row>
      <xdr:rowOff>0</xdr:rowOff>
    </xdr:to>
    <xdr:graphicFrame macro="">
      <xdr:nvGraphicFramePr>
        <xdr:cNvPr id="32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8"/>
        </a:graphicData>
      </a:graphic>
    </xdr:graphicFrame>
    <xdr:clientData/>
  </xdr:twoCellAnchor>
  <xdr:twoCellAnchor>
    <xdr:from>
      <xdr:col>2</xdr:col>
      <xdr:colOff>914400</xdr:colOff>
      <xdr:row>362</xdr:row>
      <xdr:rowOff>0</xdr:rowOff>
    </xdr:from>
    <xdr:to>
      <xdr:col>10</xdr:col>
      <xdr:colOff>1247775</xdr:colOff>
      <xdr:row>362</xdr:row>
      <xdr:rowOff>0</xdr:rowOff>
    </xdr:to>
    <xdr:graphicFrame macro="">
      <xdr:nvGraphicFramePr>
        <xdr:cNvPr id="33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9"/>
        </a:graphicData>
      </a:graphic>
    </xdr:graphicFrame>
    <xdr:clientData/>
  </xdr:twoCellAnchor>
  <xdr:twoCellAnchor>
    <xdr:from>
      <xdr:col>2</xdr:col>
      <xdr:colOff>914400</xdr:colOff>
      <xdr:row>362</xdr:row>
      <xdr:rowOff>0</xdr:rowOff>
    </xdr:from>
    <xdr:to>
      <xdr:col>10</xdr:col>
      <xdr:colOff>1247775</xdr:colOff>
      <xdr:row>362</xdr:row>
      <xdr:rowOff>0</xdr:rowOff>
    </xdr:to>
    <xdr:graphicFrame macro="">
      <xdr:nvGraphicFramePr>
        <xdr:cNvPr id="33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0"/>
        </a:graphicData>
      </a:graphic>
    </xdr:graphicFrame>
    <xdr:clientData/>
  </xdr:twoCellAnchor>
  <xdr:twoCellAnchor>
    <xdr:from>
      <xdr:col>2</xdr:col>
      <xdr:colOff>914400</xdr:colOff>
      <xdr:row>362</xdr:row>
      <xdr:rowOff>0</xdr:rowOff>
    </xdr:from>
    <xdr:to>
      <xdr:col>10</xdr:col>
      <xdr:colOff>1247775</xdr:colOff>
      <xdr:row>362</xdr:row>
      <xdr:rowOff>0</xdr:rowOff>
    </xdr:to>
    <xdr:graphicFrame macro="">
      <xdr:nvGraphicFramePr>
        <xdr:cNvPr id="33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1"/>
        </a:graphicData>
      </a:graphic>
    </xdr:graphicFrame>
    <xdr:clientData/>
  </xdr:twoCellAnchor>
  <xdr:twoCellAnchor>
    <xdr:from>
      <xdr:col>2</xdr:col>
      <xdr:colOff>914400</xdr:colOff>
      <xdr:row>362</xdr:row>
      <xdr:rowOff>0</xdr:rowOff>
    </xdr:from>
    <xdr:to>
      <xdr:col>10</xdr:col>
      <xdr:colOff>1247775</xdr:colOff>
      <xdr:row>362</xdr:row>
      <xdr:rowOff>0</xdr:rowOff>
    </xdr:to>
    <xdr:graphicFrame macro="">
      <xdr:nvGraphicFramePr>
        <xdr:cNvPr id="33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2"/>
        </a:graphicData>
      </a:graphic>
    </xdr:graphicFrame>
    <xdr:clientData/>
  </xdr:twoCellAnchor>
  <xdr:twoCellAnchor>
    <xdr:from>
      <xdr:col>2</xdr:col>
      <xdr:colOff>914400</xdr:colOff>
      <xdr:row>362</xdr:row>
      <xdr:rowOff>0</xdr:rowOff>
    </xdr:from>
    <xdr:to>
      <xdr:col>10</xdr:col>
      <xdr:colOff>1247775</xdr:colOff>
      <xdr:row>362</xdr:row>
      <xdr:rowOff>0</xdr:rowOff>
    </xdr:to>
    <xdr:graphicFrame macro="">
      <xdr:nvGraphicFramePr>
        <xdr:cNvPr id="33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3"/>
        </a:graphicData>
      </a:graphic>
    </xdr:graphicFrame>
    <xdr:clientData/>
  </xdr:twoCellAnchor>
  <xdr:twoCellAnchor>
    <xdr:from>
      <xdr:col>2</xdr:col>
      <xdr:colOff>914400</xdr:colOff>
      <xdr:row>362</xdr:row>
      <xdr:rowOff>0</xdr:rowOff>
    </xdr:from>
    <xdr:to>
      <xdr:col>10</xdr:col>
      <xdr:colOff>1247775</xdr:colOff>
      <xdr:row>362</xdr:row>
      <xdr:rowOff>0</xdr:rowOff>
    </xdr:to>
    <xdr:graphicFrame macro="">
      <xdr:nvGraphicFramePr>
        <xdr:cNvPr id="33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4"/>
        </a:graphicData>
      </a:graphic>
    </xdr:graphicFrame>
    <xdr:clientData/>
  </xdr:twoCellAnchor>
  <xdr:twoCellAnchor>
    <xdr:from>
      <xdr:col>3</xdr:col>
      <xdr:colOff>9525</xdr:colOff>
      <xdr:row>370</xdr:row>
      <xdr:rowOff>31750</xdr:rowOff>
    </xdr:from>
    <xdr:to>
      <xdr:col>11</xdr:col>
      <xdr:colOff>266700</xdr:colOff>
      <xdr:row>382</xdr:row>
      <xdr:rowOff>47625</xdr:rowOff>
    </xdr:to>
    <xdr:graphicFrame macro="">
      <xdr:nvGraphicFramePr>
        <xdr:cNvPr id="33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5"/>
        </a:graphicData>
      </a:graphic>
    </xdr:graphicFrame>
    <xdr:clientData/>
  </xdr:twoCellAnchor>
  <xdr:twoCellAnchor>
    <xdr:from>
      <xdr:col>2</xdr:col>
      <xdr:colOff>914400</xdr:colOff>
      <xdr:row>571</xdr:row>
      <xdr:rowOff>0</xdr:rowOff>
    </xdr:from>
    <xdr:to>
      <xdr:col>10</xdr:col>
      <xdr:colOff>1247775</xdr:colOff>
      <xdr:row>571</xdr:row>
      <xdr:rowOff>0</xdr:rowOff>
    </xdr:to>
    <xdr:graphicFrame macro="">
      <xdr:nvGraphicFramePr>
        <xdr:cNvPr id="33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6"/>
        </a:graphicData>
      </a:graphic>
    </xdr:graphicFrame>
    <xdr:clientData/>
  </xdr:twoCellAnchor>
  <xdr:twoCellAnchor>
    <xdr:from>
      <xdr:col>2</xdr:col>
      <xdr:colOff>914400</xdr:colOff>
      <xdr:row>571</xdr:row>
      <xdr:rowOff>0</xdr:rowOff>
    </xdr:from>
    <xdr:to>
      <xdr:col>10</xdr:col>
      <xdr:colOff>1247775</xdr:colOff>
      <xdr:row>571</xdr:row>
      <xdr:rowOff>0</xdr:rowOff>
    </xdr:to>
    <xdr:graphicFrame macro="">
      <xdr:nvGraphicFramePr>
        <xdr:cNvPr id="33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7"/>
        </a:graphicData>
      </a:graphic>
    </xdr:graphicFrame>
    <xdr:clientData/>
  </xdr:twoCellAnchor>
  <xdr:twoCellAnchor>
    <xdr:from>
      <xdr:col>2</xdr:col>
      <xdr:colOff>914400</xdr:colOff>
      <xdr:row>571</xdr:row>
      <xdr:rowOff>0</xdr:rowOff>
    </xdr:from>
    <xdr:to>
      <xdr:col>10</xdr:col>
      <xdr:colOff>1247775</xdr:colOff>
      <xdr:row>571</xdr:row>
      <xdr:rowOff>0</xdr:rowOff>
    </xdr:to>
    <xdr:graphicFrame macro="">
      <xdr:nvGraphicFramePr>
        <xdr:cNvPr id="33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8"/>
        </a:graphicData>
      </a:graphic>
    </xdr:graphicFrame>
    <xdr:clientData/>
  </xdr:twoCellAnchor>
  <xdr:twoCellAnchor>
    <xdr:from>
      <xdr:col>2</xdr:col>
      <xdr:colOff>914400</xdr:colOff>
      <xdr:row>571</xdr:row>
      <xdr:rowOff>0</xdr:rowOff>
    </xdr:from>
    <xdr:to>
      <xdr:col>10</xdr:col>
      <xdr:colOff>1247775</xdr:colOff>
      <xdr:row>571</xdr:row>
      <xdr:rowOff>0</xdr:rowOff>
    </xdr:to>
    <xdr:graphicFrame macro="">
      <xdr:nvGraphicFramePr>
        <xdr:cNvPr id="34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9"/>
        </a:graphicData>
      </a:graphic>
    </xdr:graphicFrame>
    <xdr:clientData/>
  </xdr:twoCellAnchor>
  <xdr:twoCellAnchor>
    <xdr:from>
      <xdr:col>2</xdr:col>
      <xdr:colOff>914400</xdr:colOff>
      <xdr:row>571</xdr:row>
      <xdr:rowOff>0</xdr:rowOff>
    </xdr:from>
    <xdr:to>
      <xdr:col>10</xdr:col>
      <xdr:colOff>1247775</xdr:colOff>
      <xdr:row>571</xdr:row>
      <xdr:rowOff>0</xdr:rowOff>
    </xdr:to>
    <xdr:graphicFrame macro="">
      <xdr:nvGraphicFramePr>
        <xdr:cNvPr id="34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0"/>
        </a:graphicData>
      </a:graphic>
    </xdr:graphicFrame>
    <xdr:clientData/>
  </xdr:twoCellAnchor>
  <xdr:twoCellAnchor>
    <xdr:from>
      <xdr:col>2</xdr:col>
      <xdr:colOff>914400</xdr:colOff>
      <xdr:row>571</xdr:row>
      <xdr:rowOff>0</xdr:rowOff>
    </xdr:from>
    <xdr:to>
      <xdr:col>10</xdr:col>
      <xdr:colOff>1247775</xdr:colOff>
      <xdr:row>571</xdr:row>
      <xdr:rowOff>0</xdr:rowOff>
    </xdr:to>
    <xdr:graphicFrame macro="">
      <xdr:nvGraphicFramePr>
        <xdr:cNvPr id="34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1"/>
        </a:graphicData>
      </a:graphic>
    </xdr:graphicFrame>
    <xdr:clientData/>
  </xdr:twoCellAnchor>
  <xdr:twoCellAnchor>
    <xdr:from>
      <xdr:col>2</xdr:col>
      <xdr:colOff>914400</xdr:colOff>
      <xdr:row>571</xdr:row>
      <xdr:rowOff>0</xdr:rowOff>
    </xdr:from>
    <xdr:to>
      <xdr:col>10</xdr:col>
      <xdr:colOff>1247775</xdr:colOff>
      <xdr:row>571</xdr:row>
      <xdr:rowOff>0</xdr:rowOff>
    </xdr:to>
    <xdr:graphicFrame macro="">
      <xdr:nvGraphicFramePr>
        <xdr:cNvPr id="34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2"/>
        </a:graphicData>
      </a:graphic>
    </xdr:graphicFrame>
    <xdr:clientData/>
  </xdr:twoCellAnchor>
  <xdr:twoCellAnchor>
    <xdr:from>
      <xdr:col>2</xdr:col>
      <xdr:colOff>914400</xdr:colOff>
      <xdr:row>571</xdr:row>
      <xdr:rowOff>0</xdr:rowOff>
    </xdr:from>
    <xdr:to>
      <xdr:col>10</xdr:col>
      <xdr:colOff>1247775</xdr:colOff>
      <xdr:row>571</xdr:row>
      <xdr:rowOff>0</xdr:rowOff>
    </xdr:to>
    <xdr:graphicFrame macro="">
      <xdr:nvGraphicFramePr>
        <xdr:cNvPr id="34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3"/>
        </a:graphicData>
      </a:graphic>
    </xdr:graphicFrame>
    <xdr:clientData/>
  </xdr:twoCellAnchor>
  <xdr:twoCellAnchor>
    <xdr:from>
      <xdr:col>2</xdr:col>
      <xdr:colOff>914400</xdr:colOff>
      <xdr:row>571</xdr:row>
      <xdr:rowOff>0</xdr:rowOff>
    </xdr:from>
    <xdr:to>
      <xdr:col>10</xdr:col>
      <xdr:colOff>1247775</xdr:colOff>
      <xdr:row>571</xdr:row>
      <xdr:rowOff>0</xdr:rowOff>
    </xdr:to>
    <xdr:graphicFrame macro="">
      <xdr:nvGraphicFramePr>
        <xdr:cNvPr id="34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4"/>
        </a:graphicData>
      </a:graphic>
    </xdr:graphicFrame>
    <xdr:clientData/>
  </xdr:twoCellAnchor>
  <xdr:twoCellAnchor>
    <xdr:from>
      <xdr:col>2</xdr:col>
      <xdr:colOff>914400</xdr:colOff>
      <xdr:row>571</xdr:row>
      <xdr:rowOff>0</xdr:rowOff>
    </xdr:from>
    <xdr:to>
      <xdr:col>10</xdr:col>
      <xdr:colOff>1247775</xdr:colOff>
      <xdr:row>571</xdr:row>
      <xdr:rowOff>0</xdr:rowOff>
    </xdr:to>
    <xdr:graphicFrame macro="">
      <xdr:nvGraphicFramePr>
        <xdr:cNvPr id="34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5"/>
        </a:graphicData>
      </a:graphic>
    </xdr:graphicFrame>
    <xdr:clientData/>
  </xdr:twoCellAnchor>
  <xdr:twoCellAnchor>
    <xdr:from>
      <xdr:col>2</xdr:col>
      <xdr:colOff>914400</xdr:colOff>
      <xdr:row>571</xdr:row>
      <xdr:rowOff>0</xdr:rowOff>
    </xdr:from>
    <xdr:to>
      <xdr:col>10</xdr:col>
      <xdr:colOff>1247775</xdr:colOff>
      <xdr:row>571</xdr:row>
      <xdr:rowOff>0</xdr:rowOff>
    </xdr:to>
    <xdr:graphicFrame macro="">
      <xdr:nvGraphicFramePr>
        <xdr:cNvPr id="34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6"/>
        </a:graphicData>
      </a:graphic>
    </xdr:graphicFrame>
    <xdr:clientData/>
  </xdr:twoCellAnchor>
  <xdr:twoCellAnchor>
    <xdr:from>
      <xdr:col>2</xdr:col>
      <xdr:colOff>914400</xdr:colOff>
      <xdr:row>571</xdr:row>
      <xdr:rowOff>0</xdr:rowOff>
    </xdr:from>
    <xdr:to>
      <xdr:col>10</xdr:col>
      <xdr:colOff>1247775</xdr:colOff>
      <xdr:row>571</xdr:row>
      <xdr:rowOff>0</xdr:rowOff>
    </xdr:to>
    <xdr:graphicFrame macro="">
      <xdr:nvGraphicFramePr>
        <xdr:cNvPr id="34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7"/>
        </a:graphicData>
      </a:graphic>
    </xdr:graphicFrame>
    <xdr:clientData/>
  </xdr:twoCellAnchor>
  <xdr:twoCellAnchor>
    <xdr:from>
      <xdr:col>2</xdr:col>
      <xdr:colOff>914400</xdr:colOff>
      <xdr:row>571</xdr:row>
      <xdr:rowOff>0</xdr:rowOff>
    </xdr:from>
    <xdr:to>
      <xdr:col>10</xdr:col>
      <xdr:colOff>1247775</xdr:colOff>
      <xdr:row>571</xdr:row>
      <xdr:rowOff>0</xdr:rowOff>
    </xdr:to>
    <xdr:graphicFrame macro="">
      <xdr:nvGraphicFramePr>
        <xdr:cNvPr id="34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8"/>
        </a:graphicData>
      </a:graphic>
    </xdr:graphicFrame>
    <xdr:clientData/>
  </xdr:twoCellAnchor>
  <xdr:twoCellAnchor>
    <xdr:from>
      <xdr:col>2</xdr:col>
      <xdr:colOff>914400</xdr:colOff>
      <xdr:row>571</xdr:row>
      <xdr:rowOff>0</xdr:rowOff>
    </xdr:from>
    <xdr:to>
      <xdr:col>10</xdr:col>
      <xdr:colOff>1247775</xdr:colOff>
      <xdr:row>571</xdr:row>
      <xdr:rowOff>0</xdr:rowOff>
    </xdr:to>
    <xdr:graphicFrame macro="">
      <xdr:nvGraphicFramePr>
        <xdr:cNvPr id="35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9"/>
        </a:graphicData>
      </a:graphic>
    </xdr:graphicFrame>
    <xdr:clientData/>
  </xdr:twoCellAnchor>
  <xdr:twoCellAnchor>
    <xdr:from>
      <xdr:col>2</xdr:col>
      <xdr:colOff>914400</xdr:colOff>
      <xdr:row>571</xdr:row>
      <xdr:rowOff>0</xdr:rowOff>
    </xdr:from>
    <xdr:to>
      <xdr:col>10</xdr:col>
      <xdr:colOff>1247775</xdr:colOff>
      <xdr:row>571</xdr:row>
      <xdr:rowOff>0</xdr:rowOff>
    </xdr:to>
    <xdr:graphicFrame macro="">
      <xdr:nvGraphicFramePr>
        <xdr:cNvPr id="35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0"/>
        </a:graphicData>
      </a:graphic>
    </xdr:graphicFrame>
    <xdr:clientData/>
  </xdr:twoCellAnchor>
  <xdr:twoCellAnchor>
    <xdr:from>
      <xdr:col>2</xdr:col>
      <xdr:colOff>914400</xdr:colOff>
      <xdr:row>571</xdr:row>
      <xdr:rowOff>0</xdr:rowOff>
    </xdr:from>
    <xdr:to>
      <xdr:col>10</xdr:col>
      <xdr:colOff>1247775</xdr:colOff>
      <xdr:row>571</xdr:row>
      <xdr:rowOff>0</xdr:rowOff>
    </xdr:to>
    <xdr:graphicFrame macro="">
      <xdr:nvGraphicFramePr>
        <xdr:cNvPr id="35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1"/>
        </a:graphicData>
      </a:graphic>
    </xdr:graphicFrame>
    <xdr:clientData/>
  </xdr:twoCellAnchor>
  <xdr:twoCellAnchor>
    <xdr:from>
      <xdr:col>2</xdr:col>
      <xdr:colOff>914400</xdr:colOff>
      <xdr:row>571</xdr:row>
      <xdr:rowOff>0</xdr:rowOff>
    </xdr:from>
    <xdr:to>
      <xdr:col>10</xdr:col>
      <xdr:colOff>1247775</xdr:colOff>
      <xdr:row>571</xdr:row>
      <xdr:rowOff>0</xdr:rowOff>
    </xdr:to>
    <xdr:graphicFrame macro="">
      <xdr:nvGraphicFramePr>
        <xdr:cNvPr id="35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2"/>
        </a:graphicData>
      </a:graphic>
    </xdr:graphicFrame>
    <xdr:clientData/>
  </xdr:twoCellAnchor>
  <xdr:twoCellAnchor>
    <xdr:from>
      <xdr:col>2</xdr:col>
      <xdr:colOff>914400</xdr:colOff>
      <xdr:row>571</xdr:row>
      <xdr:rowOff>0</xdr:rowOff>
    </xdr:from>
    <xdr:to>
      <xdr:col>10</xdr:col>
      <xdr:colOff>1247775</xdr:colOff>
      <xdr:row>571</xdr:row>
      <xdr:rowOff>0</xdr:rowOff>
    </xdr:to>
    <xdr:graphicFrame macro="">
      <xdr:nvGraphicFramePr>
        <xdr:cNvPr id="35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3"/>
        </a:graphicData>
      </a:graphic>
    </xdr:graphicFrame>
    <xdr:clientData/>
  </xdr:twoCellAnchor>
  <xdr:twoCellAnchor>
    <xdr:from>
      <xdr:col>2</xdr:col>
      <xdr:colOff>914400</xdr:colOff>
      <xdr:row>571</xdr:row>
      <xdr:rowOff>0</xdr:rowOff>
    </xdr:from>
    <xdr:to>
      <xdr:col>10</xdr:col>
      <xdr:colOff>1247775</xdr:colOff>
      <xdr:row>571</xdr:row>
      <xdr:rowOff>0</xdr:rowOff>
    </xdr:to>
    <xdr:graphicFrame macro="">
      <xdr:nvGraphicFramePr>
        <xdr:cNvPr id="35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4"/>
        </a:graphicData>
      </a:graphic>
    </xdr:graphicFrame>
    <xdr:clientData/>
  </xdr:twoCellAnchor>
  <xdr:twoCellAnchor>
    <xdr:from>
      <xdr:col>2</xdr:col>
      <xdr:colOff>914400</xdr:colOff>
      <xdr:row>571</xdr:row>
      <xdr:rowOff>0</xdr:rowOff>
    </xdr:from>
    <xdr:to>
      <xdr:col>10</xdr:col>
      <xdr:colOff>1247775</xdr:colOff>
      <xdr:row>571</xdr:row>
      <xdr:rowOff>0</xdr:rowOff>
    </xdr:to>
    <xdr:graphicFrame macro="">
      <xdr:nvGraphicFramePr>
        <xdr:cNvPr id="35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5"/>
        </a:graphicData>
      </a:graphic>
    </xdr:graphicFrame>
    <xdr:clientData/>
  </xdr:twoCellAnchor>
  <xdr:twoCellAnchor>
    <xdr:from>
      <xdr:col>2</xdr:col>
      <xdr:colOff>914400</xdr:colOff>
      <xdr:row>571</xdr:row>
      <xdr:rowOff>0</xdr:rowOff>
    </xdr:from>
    <xdr:to>
      <xdr:col>10</xdr:col>
      <xdr:colOff>1247775</xdr:colOff>
      <xdr:row>571</xdr:row>
      <xdr:rowOff>0</xdr:rowOff>
    </xdr:to>
    <xdr:graphicFrame macro="">
      <xdr:nvGraphicFramePr>
        <xdr:cNvPr id="35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6"/>
        </a:graphicData>
      </a:graphic>
    </xdr:graphicFrame>
    <xdr:clientData/>
  </xdr:twoCellAnchor>
  <xdr:twoCellAnchor>
    <xdr:from>
      <xdr:col>2</xdr:col>
      <xdr:colOff>914400</xdr:colOff>
      <xdr:row>571</xdr:row>
      <xdr:rowOff>0</xdr:rowOff>
    </xdr:from>
    <xdr:to>
      <xdr:col>10</xdr:col>
      <xdr:colOff>1247775</xdr:colOff>
      <xdr:row>571</xdr:row>
      <xdr:rowOff>0</xdr:rowOff>
    </xdr:to>
    <xdr:graphicFrame macro="">
      <xdr:nvGraphicFramePr>
        <xdr:cNvPr id="35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7"/>
        </a:graphicData>
      </a:graphic>
    </xdr:graphicFrame>
    <xdr:clientData/>
  </xdr:twoCellAnchor>
  <xdr:twoCellAnchor>
    <xdr:from>
      <xdr:col>2</xdr:col>
      <xdr:colOff>914400</xdr:colOff>
      <xdr:row>571</xdr:row>
      <xdr:rowOff>0</xdr:rowOff>
    </xdr:from>
    <xdr:to>
      <xdr:col>10</xdr:col>
      <xdr:colOff>1247775</xdr:colOff>
      <xdr:row>571</xdr:row>
      <xdr:rowOff>0</xdr:rowOff>
    </xdr:to>
    <xdr:graphicFrame macro="">
      <xdr:nvGraphicFramePr>
        <xdr:cNvPr id="35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8"/>
        </a:graphicData>
      </a:graphic>
    </xdr:graphicFrame>
    <xdr:clientData/>
  </xdr:twoCellAnchor>
  <xdr:twoCellAnchor>
    <xdr:from>
      <xdr:col>2</xdr:col>
      <xdr:colOff>914400</xdr:colOff>
      <xdr:row>571</xdr:row>
      <xdr:rowOff>0</xdr:rowOff>
    </xdr:from>
    <xdr:to>
      <xdr:col>10</xdr:col>
      <xdr:colOff>1247775</xdr:colOff>
      <xdr:row>571</xdr:row>
      <xdr:rowOff>0</xdr:rowOff>
    </xdr:to>
    <xdr:graphicFrame macro="">
      <xdr:nvGraphicFramePr>
        <xdr:cNvPr id="36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9"/>
        </a:graphicData>
      </a:graphic>
    </xdr:graphicFrame>
    <xdr:clientData/>
  </xdr:twoCellAnchor>
  <xdr:twoCellAnchor>
    <xdr:from>
      <xdr:col>2</xdr:col>
      <xdr:colOff>914400</xdr:colOff>
      <xdr:row>571</xdr:row>
      <xdr:rowOff>0</xdr:rowOff>
    </xdr:from>
    <xdr:to>
      <xdr:col>10</xdr:col>
      <xdr:colOff>1247775</xdr:colOff>
      <xdr:row>571</xdr:row>
      <xdr:rowOff>0</xdr:rowOff>
    </xdr:to>
    <xdr:graphicFrame macro="">
      <xdr:nvGraphicFramePr>
        <xdr:cNvPr id="36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0"/>
        </a:graphicData>
      </a:graphic>
    </xdr:graphicFrame>
    <xdr:clientData/>
  </xdr:twoCellAnchor>
  <xdr:twoCellAnchor>
    <xdr:from>
      <xdr:col>2</xdr:col>
      <xdr:colOff>914400</xdr:colOff>
      <xdr:row>571</xdr:row>
      <xdr:rowOff>0</xdr:rowOff>
    </xdr:from>
    <xdr:to>
      <xdr:col>10</xdr:col>
      <xdr:colOff>1247775</xdr:colOff>
      <xdr:row>571</xdr:row>
      <xdr:rowOff>0</xdr:rowOff>
    </xdr:to>
    <xdr:graphicFrame macro="">
      <xdr:nvGraphicFramePr>
        <xdr:cNvPr id="36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1"/>
        </a:graphicData>
      </a:graphic>
    </xdr:graphicFrame>
    <xdr:clientData/>
  </xdr:twoCellAnchor>
  <xdr:twoCellAnchor>
    <xdr:from>
      <xdr:col>2</xdr:col>
      <xdr:colOff>914400</xdr:colOff>
      <xdr:row>571</xdr:row>
      <xdr:rowOff>0</xdr:rowOff>
    </xdr:from>
    <xdr:to>
      <xdr:col>10</xdr:col>
      <xdr:colOff>1247775</xdr:colOff>
      <xdr:row>571</xdr:row>
      <xdr:rowOff>0</xdr:rowOff>
    </xdr:to>
    <xdr:graphicFrame macro="">
      <xdr:nvGraphicFramePr>
        <xdr:cNvPr id="36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2"/>
        </a:graphicData>
      </a:graphic>
    </xdr:graphicFrame>
    <xdr:clientData/>
  </xdr:twoCellAnchor>
  <xdr:twoCellAnchor>
    <xdr:from>
      <xdr:col>2</xdr:col>
      <xdr:colOff>914400</xdr:colOff>
      <xdr:row>571</xdr:row>
      <xdr:rowOff>0</xdr:rowOff>
    </xdr:from>
    <xdr:to>
      <xdr:col>10</xdr:col>
      <xdr:colOff>1247775</xdr:colOff>
      <xdr:row>571</xdr:row>
      <xdr:rowOff>0</xdr:rowOff>
    </xdr:to>
    <xdr:graphicFrame macro="">
      <xdr:nvGraphicFramePr>
        <xdr:cNvPr id="36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3"/>
        </a:graphicData>
      </a:graphic>
    </xdr:graphicFrame>
    <xdr:clientData/>
  </xdr:twoCellAnchor>
  <xdr:twoCellAnchor>
    <xdr:from>
      <xdr:col>2</xdr:col>
      <xdr:colOff>914400</xdr:colOff>
      <xdr:row>571</xdr:row>
      <xdr:rowOff>0</xdr:rowOff>
    </xdr:from>
    <xdr:to>
      <xdr:col>10</xdr:col>
      <xdr:colOff>1247775</xdr:colOff>
      <xdr:row>571</xdr:row>
      <xdr:rowOff>0</xdr:rowOff>
    </xdr:to>
    <xdr:graphicFrame macro="">
      <xdr:nvGraphicFramePr>
        <xdr:cNvPr id="36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4"/>
        </a:graphicData>
      </a:graphic>
    </xdr:graphicFrame>
    <xdr:clientData/>
  </xdr:twoCellAnchor>
  <xdr:twoCellAnchor>
    <xdr:from>
      <xdr:col>2</xdr:col>
      <xdr:colOff>914400</xdr:colOff>
      <xdr:row>571</xdr:row>
      <xdr:rowOff>0</xdr:rowOff>
    </xdr:from>
    <xdr:to>
      <xdr:col>10</xdr:col>
      <xdr:colOff>1247775</xdr:colOff>
      <xdr:row>571</xdr:row>
      <xdr:rowOff>0</xdr:rowOff>
    </xdr:to>
    <xdr:graphicFrame macro="">
      <xdr:nvGraphicFramePr>
        <xdr:cNvPr id="36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5"/>
        </a:graphicData>
      </a:graphic>
    </xdr:graphicFrame>
    <xdr:clientData/>
  </xdr:twoCellAnchor>
  <xdr:twoCellAnchor>
    <xdr:from>
      <xdr:col>2</xdr:col>
      <xdr:colOff>914400</xdr:colOff>
      <xdr:row>571</xdr:row>
      <xdr:rowOff>0</xdr:rowOff>
    </xdr:from>
    <xdr:to>
      <xdr:col>10</xdr:col>
      <xdr:colOff>1247775</xdr:colOff>
      <xdr:row>571</xdr:row>
      <xdr:rowOff>0</xdr:rowOff>
    </xdr:to>
    <xdr:graphicFrame macro="">
      <xdr:nvGraphicFramePr>
        <xdr:cNvPr id="36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6"/>
        </a:graphicData>
      </a:graphic>
    </xdr:graphicFrame>
    <xdr:clientData/>
  </xdr:twoCellAnchor>
  <xdr:twoCellAnchor>
    <xdr:from>
      <xdr:col>2</xdr:col>
      <xdr:colOff>914400</xdr:colOff>
      <xdr:row>571</xdr:row>
      <xdr:rowOff>0</xdr:rowOff>
    </xdr:from>
    <xdr:to>
      <xdr:col>10</xdr:col>
      <xdr:colOff>1247775</xdr:colOff>
      <xdr:row>571</xdr:row>
      <xdr:rowOff>0</xdr:rowOff>
    </xdr:to>
    <xdr:graphicFrame macro="">
      <xdr:nvGraphicFramePr>
        <xdr:cNvPr id="36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7"/>
        </a:graphicData>
      </a:graphic>
    </xdr:graphicFrame>
    <xdr:clientData/>
  </xdr:twoCellAnchor>
  <xdr:twoCellAnchor>
    <xdr:from>
      <xdr:col>2</xdr:col>
      <xdr:colOff>914400</xdr:colOff>
      <xdr:row>571</xdr:row>
      <xdr:rowOff>0</xdr:rowOff>
    </xdr:from>
    <xdr:to>
      <xdr:col>10</xdr:col>
      <xdr:colOff>1247775</xdr:colOff>
      <xdr:row>571</xdr:row>
      <xdr:rowOff>0</xdr:rowOff>
    </xdr:to>
    <xdr:graphicFrame macro="">
      <xdr:nvGraphicFramePr>
        <xdr:cNvPr id="36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8"/>
        </a:graphicData>
      </a:graphic>
    </xdr:graphicFrame>
    <xdr:clientData/>
  </xdr:twoCellAnchor>
  <xdr:twoCellAnchor>
    <xdr:from>
      <xdr:col>2</xdr:col>
      <xdr:colOff>914400</xdr:colOff>
      <xdr:row>571</xdr:row>
      <xdr:rowOff>0</xdr:rowOff>
    </xdr:from>
    <xdr:to>
      <xdr:col>10</xdr:col>
      <xdr:colOff>1247775</xdr:colOff>
      <xdr:row>571</xdr:row>
      <xdr:rowOff>0</xdr:rowOff>
    </xdr:to>
    <xdr:graphicFrame macro="">
      <xdr:nvGraphicFramePr>
        <xdr:cNvPr id="37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9"/>
        </a:graphicData>
      </a:graphic>
    </xdr:graphicFrame>
    <xdr:clientData/>
  </xdr:twoCellAnchor>
  <xdr:twoCellAnchor>
    <xdr:from>
      <xdr:col>2</xdr:col>
      <xdr:colOff>914400</xdr:colOff>
      <xdr:row>571</xdr:row>
      <xdr:rowOff>0</xdr:rowOff>
    </xdr:from>
    <xdr:to>
      <xdr:col>10</xdr:col>
      <xdr:colOff>1247775</xdr:colOff>
      <xdr:row>571</xdr:row>
      <xdr:rowOff>0</xdr:rowOff>
    </xdr:to>
    <xdr:graphicFrame macro="">
      <xdr:nvGraphicFramePr>
        <xdr:cNvPr id="37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0"/>
        </a:graphicData>
      </a:graphic>
    </xdr:graphicFrame>
    <xdr:clientData/>
  </xdr:twoCellAnchor>
  <xdr:twoCellAnchor>
    <xdr:from>
      <xdr:col>2</xdr:col>
      <xdr:colOff>914400</xdr:colOff>
      <xdr:row>571</xdr:row>
      <xdr:rowOff>0</xdr:rowOff>
    </xdr:from>
    <xdr:to>
      <xdr:col>10</xdr:col>
      <xdr:colOff>1247775</xdr:colOff>
      <xdr:row>571</xdr:row>
      <xdr:rowOff>0</xdr:rowOff>
    </xdr:to>
    <xdr:graphicFrame macro="">
      <xdr:nvGraphicFramePr>
        <xdr:cNvPr id="37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1"/>
        </a:graphicData>
      </a:graphic>
    </xdr:graphicFrame>
    <xdr:clientData/>
  </xdr:twoCellAnchor>
  <xdr:twoCellAnchor>
    <xdr:from>
      <xdr:col>2</xdr:col>
      <xdr:colOff>914400</xdr:colOff>
      <xdr:row>571</xdr:row>
      <xdr:rowOff>0</xdr:rowOff>
    </xdr:from>
    <xdr:to>
      <xdr:col>10</xdr:col>
      <xdr:colOff>1247775</xdr:colOff>
      <xdr:row>571</xdr:row>
      <xdr:rowOff>0</xdr:rowOff>
    </xdr:to>
    <xdr:graphicFrame macro="">
      <xdr:nvGraphicFramePr>
        <xdr:cNvPr id="37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2"/>
        </a:graphicData>
      </a:graphic>
    </xdr:graphicFrame>
    <xdr:clientData/>
  </xdr:twoCellAnchor>
  <xdr:twoCellAnchor>
    <xdr:from>
      <xdr:col>2</xdr:col>
      <xdr:colOff>914400</xdr:colOff>
      <xdr:row>571</xdr:row>
      <xdr:rowOff>0</xdr:rowOff>
    </xdr:from>
    <xdr:to>
      <xdr:col>10</xdr:col>
      <xdr:colOff>1247775</xdr:colOff>
      <xdr:row>571</xdr:row>
      <xdr:rowOff>0</xdr:rowOff>
    </xdr:to>
    <xdr:graphicFrame macro="">
      <xdr:nvGraphicFramePr>
        <xdr:cNvPr id="37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3"/>
        </a:graphicData>
      </a:graphic>
    </xdr:graphicFrame>
    <xdr:clientData/>
  </xdr:twoCellAnchor>
  <xdr:twoCellAnchor>
    <xdr:from>
      <xdr:col>2</xdr:col>
      <xdr:colOff>914400</xdr:colOff>
      <xdr:row>571</xdr:row>
      <xdr:rowOff>0</xdr:rowOff>
    </xdr:from>
    <xdr:to>
      <xdr:col>10</xdr:col>
      <xdr:colOff>1247775</xdr:colOff>
      <xdr:row>571</xdr:row>
      <xdr:rowOff>0</xdr:rowOff>
    </xdr:to>
    <xdr:graphicFrame macro="">
      <xdr:nvGraphicFramePr>
        <xdr:cNvPr id="37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4"/>
        </a:graphicData>
      </a:graphic>
    </xdr:graphicFrame>
    <xdr:clientData/>
  </xdr:twoCellAnchor>
  <xdr:twoCellAnchor>
    <xdr:from>
      <xdr:col>2</xdr:col>
      <xdr:colOff>914400</xdr:colOff>
      <xdr:row>571</xdr:row>
      <xdr:rowOff>0</xdr:rowOff>
    </xdr:from>
    <xdr:to>
      <xdr:col>10</xdr:col>
      <xdr:colOff>1247775</xdr:colOff>
      <xdr:row>571</xdr:row>
      <xdr:rowOff>0</xdr:rowOff>
    </xdr:to>
    <xdr:graphicFrame macro="">
      <xdr:nvGraphicFramePr>
        <xdr:cNvPr id="37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5"/>
        </a:graphicData>
      </a:graphic>
    </xdr:graphicFrame>
    <xdr:clientData/>
  </xdr:twoCellAnchor>
  <xdr:twoCellAnchor>
    <xdr:from>
      <xdr:col>2</xdr:col>
      <xdr:colOff>914400</xdr:colOff>
      <xdr:row>571</xdr:row>
      <xdr:rowOff>0</xdr:rowOff>
    </xdr:from>
    <xdr:to>
      <xdr:col>10</xdr:col>
      <xdr:colOff>1247775</xdr:colOff>
      <xdr:row>571</xdr:row>
      <xdr:rowOff>0</xdr:rowOff>
    </xdr:to>
    <xdr:graphicFrame macro="">
      <xdr:nvGraphicFramePr>
        <xdr:cNvPr id="37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6"/>
        </a:graphicData>
      </a:graphic>
    </xdr:graphicFrame>
    <xdr:clientData/>
  </xdr:twoCellAnchor>
  <xdr:twoCellAnchor>
    <xdr:from>
      <xdr:col>2</xdr:col>
      <xdr:colOff>914400</xdr:colOff>
      <xdr:row>571</xdr:row>
      <xdr:rowOff>0</xdr:rowOff>
    </xdr:from>
    <xdr:to>
      <xdr:col>10</xdr:col>
      <xdr:colOff>1247775</xdr:colOff>
      <xdr:row>571</xdr:row>
      <xdr:rowOff>0</xdr:rowOff>
    </xdr:to>
    <xdr:graphicFrame macro="">
      <xdr:nvGraphicFramePr>
        <xdr:cNvPr id="37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7"/>
        </a:graphicData>
      </a:graphic>
    </xdr:graphicFrame>
    <xdr:clientData/>
  </xdr:twoCellAnchor>
  <xdr:twoCellAnchor>
    <xdr:from>
      <xdr:col>2</xdr:col>
      <xdr:colOff>914400</xdr:colOff>
      <xdr:row>571</xdr:row>
      <xdr:rowOff>0</xdr:rowOff>
    </xdr:from>
    <xdr:to>
      <xdr:col>10</xdr:col>
      <xdr:colOff>1247775</xdr:colOff>
      <xdr:row>571</xdr:row>
      <xdr:rowOff>0</xdr:rowOff>
    </xdr:to>
    <xdr:graphicFrame macro="">
      <xdr:nvGraphicFramePr>
        <xdr:cNvPr id="37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8"/>
        </a:graphicData>
      </a:graphic>
    </xdr:graphicFrame>
    <xdr:clientData/>
  </xdr:twoCellAnchor>
  <xdr:twoCellAnchor>
    <xdr:from>
      <xdr:col>2</xdr:col>
      <xdr:colOff>914400</xdr:colOff>
      <xdr:row>578</xdr:row>
      <xdr:rowOff>190500</xdr:rowOff>
    </xdr:from>
    <xdr:to>
      <xdr:col>10</xdr:col>
      <xdr:colOff>1247775</xdr:colOff>
      <xdr:row>591</xdr:row>
      <xdr:rowOff>0</xdr:rowOff>
    </xdr:to>
    <xdr:graphicFrame macro="">
      <xdr:nvGraphicFramePr>
        <xdr:cNvPr id="38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9"/>
        </a:graphicData>
      </a:graphic>
    </xdr:graphicFrame>
    <xdr:clientData/>
  </xdr:twoCellAnchor>
  <xdr:twoCellAnchor>
    <xdr:from>
      <xdr:col>2</xdr:col>
      <xdr:colOff>914400</xdr:colOff>
      <xdr:row>292</xdr:row>
      <xdr:rowOff>0</xdr:rowOff>
    </xdr:from>
    <xdr:to>
      <xdr:col>10</xdr:col>
      <xdr:colOff>1247775</xdr:colOff>
      <xdr:row>292</xdr:row>
      <xdr:rowOff>0</xdr:rowOff>
    </xdr:to>
    <xdr:graphicFrame macro="">
      <xdr:nvGraphicFramePr>
        <xdr:cNvPr id="38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0"/>
        </a:graphicData>
      </a:graphic>
    </xdr:graphicFrame>
    <xdr:clientData/>
  </xdr:twoCellAnchor>
  <xdr:twoCellAnchor>
    <xdr:from>
      <xdr:col>2</xdr:col>
      <xdr:colOff>914400</xdr:colOff>
      <xdr:row>292</xdr:row>
      <xdr:rowOff>0</xdr:rowOff>
    </xdr:from>
    <xdr:to>
      <xdr:col>10</xdr:col>
      <xdr:colOff>1247775</xdr:colOff>
      <xdr:row>292</xdr:row>
      <xdr:rowOff>0</xdr:rowOff>
    </xdr:to>
    <xdr:graphicFrame macro="">
      <xdr:nvGraphicFramePr>
        <xdr:cNvPr id="38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1"/>
        </a:graphicData>
      </a:graphic>
    </xdr:graphicFrame>
    <xdr:clientData/>
  </xdr:twoCellAnchor>
  <xdr:twoCellAnchor>
    <xdr:from>
      <xdr:col>2</xdr:col>
      <xdr:colOff>914400</xdr:colOff>
      <xdr:row>292</xdr:row>
      <xdr:rowOff>0</xdr:rowOff>
    </xdr:from>
    <xdr:to>
      <xdr:col>10</xdr:col>
      <xdr:colOff>1247775</xdr:colOff>
      <xdr:row>292</xdr:row>
      <xdr:rowOff>0</xdr:rowOff>
    </xdr:to>
    <xdr:graphicFrame macro="">
      <xdr:nvGraphicFramePr>
        <xdr:cNvPr id="38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2"/>
        </a:graphicData>
      </a:graphic>
    </xdr:graphicFrame>
    <xdr:clientData/>
  </xdr:twoCellAnchor>
  <xdr:twoCellAnchor>
    <xdr:from>
      <xdr:col>2</xdr:col>
      <xdr:colOff>914400</xdr:colOff>
      <xdr:row>292</xdr:row>
      <xdr:rowOff>0</xdr:rowOff>
    </xdr:from>
    <xdr:to>
      <xdr:col>10</xdr:col>
      <xdr:colOff>1247775</xdr:colOff>
      <xdr:row>292</xdr:row>
      <xdr:rowOff>0</xdr:rowOff>
    </xdr:to>
    <xdr:graphicFrame macro="">
      <xdr:nvGraphicFramePr>
        <xdr:cNvPr id="38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3"/>
        </a:graphicData>
      </a:graphic>
    </xdr:graphicFrame>
    <xdr:clientData/>
  </xdr:twoCellAnchor>
  <xdr:twoCellAnchor>
    <xdr:from>
      <xdr:col>2</xdr:col>
      <xdr:colOff>914400</xdr:colOff>
      <xdr:row>292</xdr:row>
      <xdr:rowOff>0</xdr:rowOff>
    </xdr:from>
    <xdr:to>
      <xdr:col>10</xdr:col>
      <xdr:colOff>1247775</xdr:colOff>
      <xdr:row>292</xdr:row>
      <xdr:rowOff>0</xdr:rowOff>
    </xdr:to>
    <xdr:graphicFrame macro="">
      <xdr:nvGraphicFramePr>
        <xdr:cNvPr id="38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4"/>
        </a:graphicData>
      </a:graphic>
    </xdr:graphicFrame>
    <xdr:clientData/>
  </xdr:twoCellAnchor>
  <xdr:twoCellAnchor>
    <xdr:from>
      <xdr:col>2</xdr:col>
      <xdr:colOff>914400</xdr:colOff>
      <xdr:row>292</xdr:row>
      <xdr:rowOff>0</xdr:rowOff>
    </xdr:from>
    <xdr:to>
      <xdr:col>10</xdr:col>
      <xdr:colOff>1247775</xdr:colOff>
      <xdr:row>292</xdr:row>
      <xdr:rowOff>0</xdr:rowOff>
    </xdr:to>
    <xdr:graphicFrame macro="">
      <xdr:nvGraphicFramePr>
        <xdr:cNvPr id="38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5"/>
        </a:graphicData>
      </a:graphic>
    </xdr:graphicFrame>
    <xdr:clientData/>
  </xdr:twoCellAnchor>
  <xdr:twoCellAnchor>
    <xdr:from>
      <xdr:col>2</xdr:col>
      <xdr:colOff>914400</xdr:colOff>
      <xdr:row>292</xdr:row>
      <xdr:rowOff>0</xdr:rowOff>
    </xdr:from>
    <xdr:to>
      <xdr:col>10</xdr:col>
      <xdr:colOff>1247775</xdr:colOff>
      <xdr:row>292</xdr:row>
      <xdr:rowOff>0</xdr:rowOff>
    </xdr:to>
    <xdr:graphicFrame macro="">
      <xdr:nvGraphicFramePr>
        <xdr:cNvPr id="38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6"/>
        </a:graphicData>
      </a:graphic>
    </xdr:graphicFrame>
    <xdr:clientData/>
  </xdr:twoCellAnchor>
  <xdr:twoCellAnchor>
    <xdr:from>
      <xdr:col>2</xdr:col>
      <xdr:colOff>914400</xdr:colOff>
      <xdr:row>292</xdr:row>
      <xdr:rowOff>0</xdr:rowOff>
    </xdr:from>
    <xdr:to>
      <xdr:col>10</xdr:col>
      <xdr:colOff>1247775</xdr:colOff>
      <xdr:row>292</xdr:row>
      <xdr:rowOff>0</xdr:rowOff>
    </xdr:to>
    <xdr:graphicFrame macro="">
      <xdr:nvGraphicFramePr>
        <xdr:cNvPr id="38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7"/>
        </a:graphicData>
      </a:graphic>
    </xdr:graphicFrame>
    <xdr:clientData/>
  </xdr:twoCellAnchor>
  <xdr:twoCellAnchor>
    <xdr:from>
      <xdr:col>2</xdr:col>
      <xdr:colOff>914400</xdr:colOff>
      <xdr:row>292</xdr:row>
      <xdr:rowOff>0</xdr:rowOff>
    </xdr:from>
    <xdr:to>
      <xdr:col>10</xdr:col>
      <xdr:colOff>1247775</xdr:colOff>
      <xdr:row>292</xdr:row>
      <xdr:rowOff>0</xdr:rowOff>
    </xdr:to>
    <xdr:graphicFrame macro="">
      <xdr:nvGraphicFramePr>
        <xdr:cNvPr id="38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8"/>
        </a:graphicData>
      </a:graphic>
    </xdr:graphicFrame>
    <xdr:clientData/>
  </xdr:twoCellAnchor>
  <xdr:twoCellAnchor>
    <xdr:from>
      <xdr:col>2</xdr:col>
      <xdr:colOff>914400</xdr:colOff>
      <xdr:row>292</xdr:row>
      <xdr:rowOff>0</xdr:rowOff>
    </xdr:from>
    <xdr:to>
      <xdr:col>10</xdr:col>
      <xdr:colOff>1247775</xdr:colOff>
      <xdr:row>292</xdr:row>
      <xdr:rowOff>0</xdr:rowOff>
    </xdr:to>
    <xdr:graphicFrame macro="">
      <xdr:nvGraphicFramePr>
        <xdr:cNvPr id="39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9"/>
        </a:graphicData>
      </a:graphic>
    </xdr:graphicFrame>
    <xdr:clientData/>
  </xdr:twoCellAnchor>
  <xdr:twoCellAnchor>
    <xdr:from>
      <xdr:col>2</xdr:col>
      <xdr:colOff>914400</xdr:colOff>
      <xdr:row>292</xdr:row>
      <xdr:rowOff>0</xdr:rowOff>
    </xdr:from>
    <xdr:to>
      <xdr:col>10</xdr:col>
      <xdr:colOff>1247775</xdr:colOff>
      <xdr:row>292</xdr:row>
      <xdr:rowOff>0</xdr:rowOff>
    </xdr:to>
    <xdr:graphicFrame macro="">
      <xdr:nvGraphicFramePr>
        <xdr:cNvPr id="39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0"/>
        </a:graphicData>
      </a:graphic>
    </xdr:graphicFrame>
    <xdr:clientData/>
  </xdr:twoCellAnchor>
  <xdr:twoCellAnchor>
    <xdr:from>
      <xdr:col>2</xdr:col>
      <xdr:colOff>914400</xdr:colOff>
      <xdr:row>292</xdr:row>
      <xdr:rowOff>0</xdr:rowOff>
    </xdr:from>
    <xdr:to>
      <xdr:col>10</xdr:col>
      <xdr:colOff>1247775</xdr:colOff>
      <xdr:row>292</xdr:row>
      <xdr:rowOff>0</xdr:rowOff>
    </xdr:to>
    <xdr:graphicFrame macro="">
      <xdr:nvGraphicFramePr>
        <xdr:cNvPr id="39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1"/>
        </a:graphicData>
      </a:graphic>
    </xdr:graphicFrame>
    <xdr:clientData/>
  </xdr:twoCellAnchor>
  <xdr:twoCellAnchor>
    <xdr:from>
      <xdr:col>2</xdr:col>
      <xdr:colOff>914400</xdr:colOff>
      <xdr:row>292</xdr:row>
      <xdr:rowOff>0</xdr:rowOff>
    </xdr:from>
    <xdr:to>
      <xdr:col>10</xdr:col>
      <xdr:colOff>1247775</xdr:colOff>
      <xdr:row>292</xdr:row>
      <xdr:rowOff>0</xdr:rowOff>
    </xdr:to>
    <xdr:graphicFrame macro="">
      <xdr:nvGraphicFramePr>
        <xdr:cNvPr id="39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2"/>
        </a:graphicData>
      </a:graphic>
    </xdr:graphicFrame>
    <xdr:clientData/>
  </xdr:twoCellAnchor>
  <xdr:twoCellAnchor>
    <xdr:from>
      <xdr:col>2</xdr:col>
      <xdr:colOff>914400</xdr:colOff>
      <xdr:row>292</xdr:row>
      <xdr:rowOff>0</xdr:rowOff>
    </xdr:from>
    <xdr:to>
      <xdr:col>10</xdr:col>
      <xdr:colOff>1247775</xdr:colOff>
      <xdr:row>292</xdr:row>
      <xdr:rowOff>0</xdr:rowOff>
    </xdr:to>
    <xdr:graphicFrame macro="">
      <xdr:nvGraphicFramePr>
        <xdr:cNvPr id="39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3"/>
        </a:graphicData>
      </a:graphic>
    </xdr:graphicFrame>
    <xdr:clientData/>
  </xdr:twoCellAnchor>
  <xdr:twoCellAnchor>
    <xdr:from>
      <xdr:col>2</xdr:col>
      <xdr:colOff>914400</xdr:colOff>
      <xdr:row>292</xdr:row>
      <xdr:rowOff>0</xdr:rowOff>
    </xdr:from>
    <xdr:to>
      <xdr:col>10</xdr:col>
      <xdr:colOff>1247775</xdr:colOff>
      <xdr:row>292</xdr:row>
      <xdr:rowOff>0</xdr:rowOff>
    </xdr:to>
    <xdr:graphicFrame macro="">
      <xdr:nvGraphicFramePr>
        <xdr:cNvPr id="39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4"/>
        </a:graphicData>
      </a:graphic>
    </xdr:graphicFrame>
    <xdr:clientData/>
  </xdr:twoCellAnchor>
  <xdr:twoCellAnchor>
    <xdr:from>
      <xdr:col>2</xdr:col>
      <xdr:colOff>914400</xdr:colOff>
      <xdr:row>292</xdr:row>
      <xdr:rowOff>0</xdr:rowOff>
    </xdr:from>
    <xdr:to>
      <xdr:col>10</xdr:col>
      <xdr:colOff>1247775</xdr:colOff>
      <xdr:row>292</xdr:row>
      <xdr:rowOff>0</xdr:rowOff>
    </xdr:to>
    <xdr:graphicFrame macro="">
      <xdr:nvGraphicFramePr>
        <xdr:cNvPr id="39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5"/>
        </a:graphicData>
      </a:graphic>
    </xdr:graphicFrame>
    <xdr:clientData/>
  </xdr:twoCellAnchor>
  <xdr:twoCellAnchor>
    <xdr:from>
      <xdr:col>2</xdr:col>
      <xdr:colOff>914400</xdr:colOff>
      <xdr:row>292</xdr:row>
      <xdr:rowOff>0</xdr:rowOff>
    </xdr:from>
    <xdr:to>
      <xdr:col>10</xdr:col>
      <xdr:colOff>1247775</xdr:colOff>
      <xdr:row>292</xdr:row>
      <xdr:rowOff>0</xdr:rowOff>
    </xdr:to>
    <xdr:graphicFrame macro="">
      <xdr:nvGraphicFramePr>
        <xdr:cNvPr id="39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6"/>
        </a:graphicData>
      </a:graphic>
    </xdr:graphicFrame>
    <xdr:clientData/>
  </xdr:twoCellAnchor>
  <xdr:twoCellAnchor>
    <xdr:from>
      <xdr:col>2</xdr:col>
      <xdr:colOff>914400</xdr:colOff>
      <xdr:row>292</xdr:row>
      <xdr:rowOff>0</xdr:rowOff>
    </xdr:from>
    <xdr:to>
      <xdr:col>10</xdr:col>
      <xdr:colOff>1247775</xdr:colOff>
      <xdr:row>292</xdr:row>
      <xdr:rowOff>0</xdr:rowOff>
    </xdr:to>
    <xdr:graphicFrame macro="">
      <xdr:nvGraphicFramePr>
        <xdr:cNvPr id="39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7"/>
        </a:graphicData>
      </a:graphic>
    </xdr:graphicFrame>
    <xdr:clientData/>
  </xdr:twoCellAnchor>
  <xdr:twoCellAnchor>
    <xdr:from>
      <xdr:col>2</xdr:col>
      <xdr:colOff>914400</xdr:colOff>
      <xdr:row>292</xdr:row>
      <xdr:rowOff>0</xdr:rowOff>
    </xdr:from>
    <xdr:to>
      <xdr:col>10</xdr:col>
      <xdr:colOff>1247775</xdr:colOff>
      <xdr:row>292</xdr:row>
      <xdr:rowOff>0</xdr:rowOff>
    </xdr:to>
    <xdr:graphicFrame macro="">
      <xdr:nvGraphicFramePr>
        <xdr:cNvPr id="39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8"/>
        </a:graphicData>
      </a:graphic>
    </xdr:graphicFrame>
    <xdr:clientData/>
  </xdr:twoCellAnchor>
  <xdr:twoCellAnchor>
    <xdr:from>
      <xdr:col>2</xdr:col>
      <xdr:colOff>914400</xdr:colOff>
      <xdr:row>292</xdr:row>
      <xdr:rowOff>0</xdr:rowOff>
    </xdr:from>
    <xdr:to>
      <xdr:col>10</xdr:col>
      <xdr:colOff>1247775</xdr:colOff>
      <xdr:row>292</xdr:row>
      <xdr:rowOff>0</xdr:rowOff>
    </xdr:to>
    <xdr:graphicFrame macro="">
      <xdr:nvGraphicFramePr>
        <xdr:cNvPr id="40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9"/>
        </a:graphicData>
      </a:graphic>
    </xdr:graphicFrame>
    <xdr:clientData/>
  </xdr:twoCellAnchor>
  <xdr:twoCellAnchor>
    <xdr:from>
      <xdr:col>2</xdr:col>
      <xdr:colOff>914400</xdr:colOff>
      <xdr:row>292</xdr:row>
      <xdr:rowOff>0</xdr:rowOff>
    </xdr:from>
    <xdr:to>
      <xdr:col>10</xdr:col>
      <xdr:colOff>1247775</xdr:colOff>
      <xdr:row>292</xdr:row>
      <xdr:rowOff>0</xdr:rowOff>
    </xdr:to>
    <xdr:graphicFrame macro="">
      <xdr:nvGraphicFramePr>
        <xdr:cNvPr id="40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0"/>
        </a:graphicData>
      </a:graphic>
    </xdr:graphicFrame>
    <xdr:clientData/>
  </xdr:twoCellAnchor>
  <xdr:twoCellAnchor>
    <xdr:from>
      <xdr:col>2</xdr:col>
      <xdr:colOff>914400</xdr:colOff>
      <xdr:row>292</xdr:row>
      <xdr:rowOff>0</xdr:rowOff>
    </xdr:from>
    <xdr:to>
      <xdr:col>10</xdr:col>
      <xdr:colOff>1247775</xdr:colOff>
      <xdr:row>292</xdr:row>
      <xdr:rowOff>0</xdr:rowOff>
    </xdr:to>
    <xdr:graphicFrame macro="">
      <xdr:nvGraphicFramePr>
        <xdr:cNvPr id="40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1"/>
        </a:graphicData>
      </a:graphic>
    </xdr:graphicFrame>
    <xdr:clientData/>
  </xdr:twoCellAnchor>
  <xdr:twoCellAnchor>
    <xdr:from>
      <xdr:col>2</xdr:col>
      <xdr:colOff>914400</xdr:colOff>
      <xdr:row>292</xdr:row>
      <xdr:rowOff>0</xdr:rowOff>
    </xdr:from>
    <xdr:to>
      <xdr:col>10</xdr:col>
      <xdr:colOff>1247775</xdr:colOff>
      <xdr:row>292</xdr:row>
      <xdr:rowOff>0</xdr:rowOff>
    </xdr:to>
    <xdr:graphicFrame macro="">
      <xdr:nvGraphicFramePr>
        <xdr:cNvPr id="40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2"/>
        </a:graphicData>
      </a:graphic>
    </xdr:graphicFrame>
    <xdr:clientData/>
  </xdr:twoCellAnchor>
  <xdr:twoCellAnchor>
    <xdr:from>
      <xdr:col>2</xdr:col>
      <xdr:colOff>914400</xdr:colOff>
      <xdr:row>292</xdr:row>
      <xdr:rowOff>0</xdr:rowOff>
    </xdr:from>
    <xdr:to>
      <xdr:col>10</xdr:col>
      <xdr:colOff>1247775</xdr:colOff>
      <xdr:row>292</xdr:row>
      <xdr:rowOff>0</xdr:rowOff>
    </xdr:to>
    <xdr:graphicFrame macro="">
      <xdr:nvGraphicFramePr>
        <xdr:cNvPr id="40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3"/>
        </a:graphicData>
      </a:graphic>
    </xdr:graphicFrame>
    <xdr:clientData/>
  </xdr:twoCellAnchor>
  <xdr:twoCellAnchor>
    <xdr:from>
      <xdr:col>2</xdr:col>
      <xdr:colOff>914400</xdr:colOff>
      <xdr:row>292</xdr:row>
      <xdr:rowOff>0</xdr:rowOff>
    </xdr:from>
    <xdr:to>
      <xdr:col>10</xdr:col>
      <xdr:colOff>1247775</xdr:colOff>
      <xdr:row>292</xdr:row>
      <xdr:rowOff>0</xdr:rowOff>
    </xdr:to>
    <xdr:graphicFrame macro="">
      <xdr:nvGraphicFramePr>
        <xdr:cNvPr id="40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4"/>
        </a:graphicData>
      </a:graphic>
    </xdr:graphicFrame>
    <xdr:clientData/>
  </xdr:twoCellAnchor>
  <xdr:twoCellAnchor>
    <xdr:from>
      <xdr:col>2</xdr:col>
      <xdr:colOff>914400</xdr:colOff>
      <xdr:row>292</xdr:row>
      <xdr:rowOff>0</xdr:rowOff>
    </xdr:from>
    <xdr:to>
      <xdr:col>10</xdr:col>
      <xdr:colOff>1247775</xdr:colOff>
      <xdr:row>292</xdr:row>
      <xdr:rowOff>0</xdr:rowOff>
    </xdr:to>
    <xdr:graphicFrame macro="">
      <xdr:nvGraphicFramePr>
        <xdr:cNvPr id="40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5"/>
        </a:graphicData>
      </a:graphic>
    </xdr:graphicFrame>
    <xdr:clientData/>
  </xdr:twoCellAnchor>
  <xdr:twoCellAnchor>
    <xdr:from>
      <xdr:col>2</xdr:col>
      <xdr:colOff>914400</xdr:colOff>
      <xdr:row>292</xdr:row>
      <xdr:rowOff>0</xdr:rowOff>
    </xdr:from>
    <xdr:to>
      <xdr:col>10</xdr:col>
      <xdr:colOff>1247775</xdr:colOff>
      <xdr:row>292</xdr:row>
      <xdr:rowOff>0</xdr:rowOff>
    </xdr:to>
    <xdr:graphicFrame macro="">
      <xdr:nvGraphicFramePr>
        <xdr:cNvPr id="40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6"/>
        </a:graphicData>
      </a:graphic>
    </xdr:graphicFrame>
    <xdr:clientData/>
  </xdr:twoCellAnchor>
  <xdr:twoCellAnchor>
    <xdr:from>
      <xdr:col>2</xdr:col>
      <xdr:colOff>914400</xdr:colOff>
      <xdr:row>292</xdr:row>
      <xdr:rowOff>0</xdr:rowOff>
    </xdr:from>
    <xdr:to>
      <xdr:col>10</xdr:col>
      <xdr:colOff>1247775</xdr:colOff>
      <xdr:row>292</xdr:row>
      <xdr:rowOff>0</xdr:rowOff>
    </xdr:to>
    <xdr:graphicFrame macro="">
      <xdr:nvGraphicFramePr>
        <xdr:cNvPr id="40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7"/>
        </a:graphicData>
      </a:graphic>
    </xdr:graphicFrame>
    <xdr:clientData/>
  </xdr:twoCellAnchor>
  <xdr:twoCellAnchor>
    <xdr:from>
      <xdr:col>2</xdr:col>
      <xdr:colOff>914400</xdr:colOff>
      <xdr:row>292</xdr:row>
      <xdr:rowOff>0</xdr:rowOff>
    </xdr:from>
    <xdr:to>
      <xdr:col>10</xdr:col>
      <xdr:colOff>1247775</xdr:colOff>
      <xdr:row>292</xdr:row>
      <xdr:rowOff>0</xdr:rowOff>
    </xdr:to>
    <xdr:graphicFrame macro="">
      <xdr:nvGraphicFramePr>
        <xdr:cNvPr id="40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8"/>
        </a:graphicData>
      </a:graphic>
    </xdr:graphicFrame>
    <xdr:clientData/>
  </xdr:twoCellAnchor>
  <xdr:twoCellAnchor>
    <xdr:from>
      <xdr:col>2</xdr:col>
      <xdr:colOff>914400</xdr:colOff>
      <xdr:row>292</xdr:row>
      <xdr:rowOff>0</xdr:rowOff>
    </xdr:from>
    <xdr:to>
      <xdr:col>10</xdr:col>
      <xdr:colOff>1247775</xdr:colOff>
      <xdr:row>292</xdr:row>
      <xdr:rowOff>0</xdr:rowOff>
    </xdr:to>
    <xdr:graphicFrame macro="">
      <xdr:nvGraphicFramePr>
        <xdr:cNvPr id="41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9"/>
        </a:graphicData>
      </a:graphic>
    </xdr:graphicFrame>
    <xdr:clientData/>
  </xdr:twoCellAnchor>
  <xdr:twoCellAnchor>
    <xdr:from>
      <xdr:col>2</xdr:col>
      <xdr:colOff>914400</xdr:colOff>
      <xdr:row>292</xdr:row>
      <xdr:rowOff>0</xdr:rowOff>
    </xdr:from>
    <xdr:to>
      <xdr:col>10</xdr:col>
      <xdr:colOff>1247775</xdr:colOff>
      <xdr:row>292</xdr:row>
      <xdr:rowOff>0</xdr:rowOff>
    </xdr:to>
    <xdr:graphicFrame macro="">
      <xdr:nvGraphicFramePr>
        <xdr:cNvPr id="41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0"/>
        </a:graphicData>
      </a:graphic>
    </xdr:graphicFrame>
    <xdr:clientData/>
  </xdr:twoCellAnchor>
  <xdr:twoCellAnchor>
    <xdr:from>
      <xdr:col>2</xdr:col>
      <xdr:colOff>914400</xdr:colOff>
      <xdr:row>292</xdr:row>
      <xdr:rowOff>0</xdr:rowOff>
    </xdr:from>
    <xdr:to>
      <xdr:col>10</xdr:col>
      <xdr:colOff>1247775</xdr:colOff>
      <xdr:row>292</xdr:row>
      <xdr:rowOff>0</xdr:rowOff>
    </xdr:to>
    <xdr:graphicFrame macro="">
      <xdr:nvGraphicFramePr>
        <xdr:cNvPr id="41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1"/>
        </a:graphicData>
      </a:graphic>
    </xdr:graphicFrame>
    <xdr:clientData/>
  </xdr:twoCellAnchor>
  <xdr:twoCellAnchor>
    <xdr:from>
      <xdr:col>2</xdr:col>
      <xdr:colOff>914400</xdr:colOff>
      <xdr:row>292</xdr:row>
      <xdr:rowOff>0</xdr:rowOff>
    </xdr:from>
    <xdr:to>
      <xdr:col>10</xdr:col>
      <xdr:colOff>1247775</xdr:colOff>
      <xdr:row>292</xdr:row>
      <xdr:rowOff>0</xdr:rowOff>
    </xdr:to>
    <xdr:graphicFrame macro="">
      <xdr:nvGraphicFramePr>
        <xdr:cNvPr id="41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2"/>
        </a:graphicData>
      </a:graphic>
    </xdr:graphicFrame>
    <xdr:clientData/>
  </xdr:twoCellAnchor>
  <xdr:twoCellAnchor>
    <xdr:from>
      <xdr:col>2</xdr:col>
      <xdr:colOff>914400</xdr:colOff>
      <xdr:row>292</xdr:row>
      <xdr:rowOff>0</xdr:rowOff>
    </xdr:from>
    <xdr:to>
      <xdr:col>10</xdr:col>
      <xdr:colOff>1247775</xdr:colOff>
      <xdr:row>292</xdr:row>
      <xdr:rowOff>0</xdr:rowOff>
    </xdr:to>
    <xdr:graphicFrame macro="">
      <xdr:nvGraphicFramePr>
        <xdr:cNvPr id="41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3"/>
        </a:graphicData>
      </a:graphic>
    </xdr:graphicFrame>
    <xdr:clientData/>
  </xdr:twoCellAnchor>
  <xdr:twoCellAnchor>
    <xdr:from>
      <xdr:col>2</xdr:col>
      <xdr:colOff>914400</xdr:colOff>
      <xdr:row>292</xdr:row>
      <xdr:rowOff>0</xdr:rowOff>
    </xdr:from>
    <xdr:to>
      <xdr:col>10</xdr:col>
      <xdr:colOff>1247775</xdr:colOff>
      <xdr:row>292</xdr:row>
      <xdr:rowOff>0</xdr:rowOff>
    </xdr:to>
    <xdr:graphicFrame macro="">
      <xdr:nvGraphicFramePr>
        <xdr:cNvPr id="41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4"/>
        </a:graphicData>
      </a:graphic>
    </xdr:graphicFrame>
    <xdr:clientData/>
  </xdr:twoCellAnchor>
  <xdr:twoCellAnchor>
    <xdr:from>
      <xdr:col>2</xdr:col>
      <xdr:colOff>914400</xdr:colOff>
      <xdr:row>292</xdr:row>
      <xdr:rowOff>0</xdr:rowOff>
    </xdr:from>
    <xdr:to>
      <xdr:col>10</xdr:col>
      <xdr:colOff>1247775</xdr:colOff>
      <xdr:row>292</xdr:row>
      <xdr:rowOff>0</xdr:rowOff>
    </xdr:to>
    <xdr:graphicFrame macro="">
      <xdr:nvGraphicFramePr>
        <xdr:cNvPr id="41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5"/>
        </a:graphicData>
      </a:graphic>
    </xdr:graphicFrame>
    <xdr:clientData/>
  </xdr:twoCellAnchor>
  <xdr:twoCellAnchor>
    <xdr:from>
      <xdr:col>2</xdr:col>
      <xdr:colOff>914400</xdr:colOff>
      <xdr:row>292</xdr:row>
      <xdr:rowOff>0</xdr:rowOff>
    </xdr:from>
    <xdr:to>
      <xdr:col>10</xdr:col>
      <xdr:colOff>1247775</xdr:colOff>
      <xdr:row>292</xdr:row>
      <xdr:rowOff>0</xdr:rowOff>
    </xdr:to>
    <xdr:graphicFrame macro="">
      <xdr:nvGraphicFramePr>
        <xdr:cNvPr id="41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6"/>
        </a:graphicData>
      </a:graphic>
    </xdr:graphicFrame>
    <xdr:clientData/>
  </xdr:twoCellAnchor>
  <xdr:twoCellAnchor>
    <xdr:from>
      <xdr:col>2</xdr:col>
      <xdr:colOff>914400</xdr:colOff>
      <xdr:row>292</xdr:row>
      <xdr:rowOff>0</xdr:rowOff>
    </xdr:from>
    <xdr:to>
      <xdr:col>10</xdr:col>
      <xdr:colOff>1247775</xdr:colOff>
      <xdr:row>292</xdr:row>
      <xdr:rowOff>0</xdr:rowOff>
    </xdr:to>
    <xdr:graphicFrame macro="">
      <xdr:nvGraphicFramePr>
        <xdr:cNvPr id="41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7"/>
        </a:graphicData>
      </a:graphic>
    </xdr:graphicFrame>
    <xdr:clientData/>
  </xdr:twoCellAnchor>
  <xdr:twoCellAnchor>
    <xdr:from>
      <xdr:col>2</xdr:col>
      <xdr:colOff>914400</xdr:colOff>
      <xdr:row>292</xdr:row>
      <xdr:rowOff>0</xdr:rowOff>
    </xdr:from>
    <xdr:to>
      <xdr:col>10</xdr:col>
      <xdr:colOff>1247775</xdr:colOff>
      <xdr:row>292</xdr:row>
      <xdr:rowOff>0</xdr:rowOff>
    </xdr:to>
    <xdr:graphicFrame macro="">
      <xdr:nvGraphicFramePr>
        <xdr:cNvPr id="41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8"/>
        </a:graphicData>
      </a:graphic>
    </xdr:graphicFrame>
    <xdr:clientData/>
  </xdr:twoCellAnchor>
  <xdr:twoCellAnchor>
    <xdr:from>
      <xdr:col>2</xdr:col>
      <xdr:colOff>914400</xdr:colOff>
      <xdr:row>292</xdr:row>
      <xdr:rowOff>0</xdr:rowOff>
    </xdr:from>
    <xdr:to>
      <xdr:col>10</xdr:col>
      <xdr:colOff>1247775</xdr:colOff>
      <xdr:row>292</xdr:row>
      <xdr:rowOff>0</xdr:rowOff>
    </xdr:to>
    <xdr:graphicFrame macro="">
      <xdr:nvGraphicFramePr>
        <xdr:cNvPr id="42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9"/>
        </a:graphicData>
      </a:graphic>
    </xdr:graphicFrame>
    <xdr:clientData/>
  </xdr:twoCellAnchor>
  <xdr:twoCellAnchor>
    <xdr:from>
      <xdr:col>2</xdr:col>
      <xdr:colOff>914400</xdr:colOff>
      <xdr:row>292</xdr:row>
      <xdr:rowOff>0</xdr:rowOff>
    </xdr:from>
    <xdr:to>
      <xdr:col>10</xdr:col>
      <xdr:colOff>1247775</xdr:colOff>
      <xdr:row>292</xdr:row>
      <xdr:rowOff>0</xdr:rowOff>
    </xdr:to>
    <xdr:graphicFrame macro="">
      <xdr:nvGraphicFramePr>
        <xdr:cNvPr id="42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0"/>
        </a:graphicData>
      </a:graphic>
    </xdr:graphicFrame>
    <xdr:clientData/>
  </xdr:twoCellAnchor>
  <xdr:twoCellAnchor>
    <xdr:from>
      <xdr:col>2</xdr:col>
      <xdr:colOff>914400</xdr:colOff>
      <xdr:row>292</xdr:row>
      <xdr:rowOff>0</xdr:rowOff>
    </xdr:from>
    <xdr:to>
      <xdr:col>10</xdr:col>
      <xdr:colOff>1247775</xdr:colOff>
      <xdr:row>292</xdr:row>
      <xdr:rowOff>0</xdr:rowOff>
    </xdr:to>
    <xdr:graphicFrame macro="">
      <xdr:nvGraphicFramePr>
        <xdr:cNvPr id="42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1"/>
        </a:graphicData>
      </a:graphic>
    </xdr:graphicFrame>
    <xdr:clientData/>
  </xdr:twoCellAnchor>
  <xdr:twoCellAnchor>
    <xdr:from>
      <xdr:col>2</xdr:col>
      <xdr:colOff>914400</xdr:colOff>
      <xdr:row>292</xdr:row>
      <xdr:rowOff>0</xdr:rowOff>
    </xdr:from>
    <xdr:to>
      <xdr:col>10</xdr:col>
      <xdr:colOff>1247775</xdr:colOff>
      <xdr:row>292</xdr:row>
      <xdr:rowOff>0</xdr:rowOff>
    </xdr:to>
    <xdr:graphicFrame macro="">
      <xdr:nvGraphicFramePr>
        <xdr:cNvPr id="42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2"/>
        </a:graphicData>
      </a:graphic>
    </xdr:graphicFrame>
    <xdr:clientData/>
  </xdr:twoCellAnchor>
  <xdr:twoCellAnchor>
    <xdr:from>
      <xdr:col>2</xdr:col>
      <xdr:colOff>1136650</xdr:colOff>
      <xdr:row>300</xdr:row>
      <xdr:rowOff>15875</xdr:rowOff>
    </xdr:from>
    <xdr:to>
      <xdr:col>11</xdr:col>
      <xdr:colOff>219075</xdr:colOff>
      <xdr:row>312</xdr:row>
      <xdr:rowOff>31750</xdr:rowOff>
    </xdr:to>
    <xdr:graphicFrame macro="">
      <xdr:nvGraphicFramePr>
        <xdr:cNvPr id="42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3"/>
        </a:graphicData>
      </a:graphic>
    </xdr:graphicFrame>
    <xdr:clientData/>
  </xdr:twoCellAnchor>
  <xdr:twoCellAnchor>
    <xdr:from>
      <xdr:col>2</xdr:col>
      <xdr:colOff>914400</xdr:colOff>
      <xdr:row>432</xdr:row>
      <xdr:rowOff>0</xdr:rowOff>
    </xdr:from>
    <xdr:to>
      <xdr:col>10</xdr:col>
      <xdr:colOff>1247775</xdr:colOff>
      <xdr:row>432</xdr:row>
      <xdr:rowOff>0</xdr:rowOff>
    </xdr:to>
    <xdr:graphicFrame macro="">
      <xdr:nvGraphicFramePr>
        <xdr:cNvPr id="42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4"/>
        </a:graphicData>
      </a:graphic>
    </xdr:graphicFrame>
    <xdr:clientData/>
  </xdr:twoCellAnchor>
  <xdr:twoCellAnchor>
    <xdr:from>
      <xdr:col>2</xdr:col>
      <xdr:colOff>914400</xdr:colOff>
      <xdr:row>432</xdr:row>
      <xdr:rowOff>0</xdr:rowOff>
    </xdr:from>
    <xdr:to>
      <xdr:col>10</xdr:col>
      <xdr:colOff>1247775</xdr:colOff>
      <xdr:row>432</xdr:row>
      <xdr:rowOff>0</xdr:rowOff>
    </xdr:to>
    <xdr:graphicFrame macro="">
      <xdr:nvGraphicFramePr>
        <xdr:cNvPr id="42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5"/>
        </a:graphicData>
      </a:graphic>
    </xdr:graphicFrame>
    <xdr:clientData/>
  </xdr:twoCellAnchor>
  <xdr:twoCellAnchor>
    <xdr:from>
      <xdr:col>2</xdr:col>
      <xdr:colOff>914400</xdr:colOff>
      <xdr:row>432</xdr:row>
      <xdr:rowOff>0</xdr:rowOff>
    </xdr:from>
    <xdr:to>
      <xdr:col>10</xdr:col>
      <xdr:colOff>1247775</xdr:colOff>
      <xdr:row>432</xdr:row>
      <xdr:rowOff>0</xdr:rowOff>
    </xdr:to>
    <xdr:graphicFrame macro="">
      <xdr:nvGraphicFramePr>
        <xdr:cNvPr id="42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6"/>
        </a:graphicData>
      </a:graphic>
    </xdr:graphicFrame>
    <xdr:clientData/>
  </xdr:twoCellAnchor>
  <xdr:twoCellAnchor>
    <xdr:from>
      <xdr:col>2</xdr:col>
      <xdr:colOff>914400</xdr:colOff>
      <xdr:row>432</xdr:row>
      <xdr:rowOff>0</xdr:rowOff>
    </xdr:from>
    <xdr:to>
      <xdr:col>10</xdr:col>
      <xdr:colOff>1247775</xdr:colOff>
      <xdr:row>432</xdr:row>
      <xdr:rowOff>0</xdr:rowOff>
    </xdr:to>
    <xdr:graphicFrame macro="">
      <xdr:nvGraphicFramePr>
        <xdr:cNvPr id="42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7"/>
        </a:graphicData>
      </a:graphic>
    </xdr:graphicFrame>
    <xdr:clientData/>
  </xdr:twoCellAnchor>
  <xdr:twoCellAnchor>
    <xdr:from>
      <xdr:col>2</xdr:col>
      <xdr:colOff>914400</xdr:colOff>
      <xdr:row>432</xdr:row>
      <xdr:rowOff>0</xdr:rowOff>
    </xdr:from>
    <xdr:to>
      <xdr:col>10</xdr:col>
      <xdr:colOff>1247775</xdr:colOff>
      <xdr:row>432</xdr:row>
      <xdr:rowOff>0</xdr:rowOff>
    </xdr:to>
    <xdr:graphicFrame macro="">
      <xdr:nvGraphicFramePr>
        <xdr:cNvPr id="42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8"/>
        </a:graphicData>
      </a:graphic>
    </xdr:graphicFrame>
    <xdr:clientData/>
  </xdr:twoCellAnchor>
  <xdr:twoCellAnchor>
    <xdr:from>
      <xdr:col>2</xdr:col>
      <xdr:colOff>914400</xdr:colOff>
      <xdr:row>432</xdr:row>
      <xdr:rowOff>0</xdr:rowOff>
    </xdr:from>
    <xdr:to>
      <xdr:col>10</xdr:col>
      <xdr:colOff>1247775</xdr:colOff>
      <xdr:row>432</xdr:row>
      <xdr:rowOff>0</xdr:rowOff>
    </xdr:to>
    <xdr:graphicFrame macro="">
      <xdr:nvGraphicFramePr>
        <xdr:cNvPr id="43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9"/>
        </a:graphicData>
      </a:graphic>
    </xdr:graphicFrame>
    <xdr:clientData/>
  </xdr:twoCellAnchor>
  <xdr:twoCellAnchor>
    <xdr:from>
      <xdr:col>2</xdr:col>
      <xdr:colOff>914400</xdr:colOff>
      <xdr:row>432</xdr:row>
      <xdr:rowOff>0</xdr:rowOff>
    </xdr:from>
    <xdr:to>
      <xdr:col>10</xdr:col>
      <xdr:colOff>1247775</xdr:colOff>
      <xdr:row>432</xdr:row>
      <xdr:rowOff>0</xdr:rowOff>
    </xdr:to>
    <xdr:graphicFrame macro="">
      <xdr:nvGraphicFramePr>
        <xdr:cNvPr id="43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0"/>
        </a:graphicData>
      </a:graphic>
    </xdr:graphicFrame>
    <xdr:clientData/>
  </xdr:twoCellAnchor>
  <xdr:twoCellAnchor>
    <xdr:from>
      <xdr:col>2</xdr:col>
      <xdr:colOff>914400</xdr:colOff>
      <xdr:row>432</xdr:row>
      <xdr:rowOff>0</xdr:rowOff>
    </xdr:from>
    <xdr:to>
      <xdr:col>10</xdr:col>
      <xdr:colOff>1247775</xdr:colOff>
      <xdr:row>432</xdr:row>
      <xdr:rowOff>0</xdr:rowOff>
    </xdr:to>
    <xdr:graphicFrame macro="">
      <xdr:nvGraphicFramePr>
        <xdr:cNvPr id="43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1"/>
        </a:graphicData>
      </a:graphic>
    </xdr:graphicFrame>
    <xdr:clientData/>
  </xdr:twoCellAnchor>
  <xdr:twoCellAnchor>
    <xdr:from>
      <xdr:col>2</xdr:col>
      <xdr:colOff>914400</xdr:colOff>
      <xdr:row>432</xdr:row>
      <xdr:rowOff>0</xdr:rowOff>
    </xdr:from>
    <xdr:to>
      <xdr:col>10</xdr:col>
      <xdr:colOff>1247775</xdr:colOff>
      <xdr:row>432</xdr:row>
      <xdr:rowOff>0</xdr:rowOff>
    </xdr:to>
    <xdr:graphicFrame macro="">
      <xdr:nvGraphicFramePr>
        <xdr:cNvPr id="43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2"/>
        </a:graphicData>
      </a:graphic>
    </xdr:graphicFrame>
    <xdr:clientData/>
  </xdr:twoCellAnchor>
  <xdr:twoCellAnchor>
    <xdr:from>
      <xdr:col>2</xdr:col>
      <xdr:colOff>914400</xdr:colOff>
      <xdr:row>432</xdr:row>
      <xdr:rowOff>0</xdr:rowOff>
    </xdr:from>
    <xdr:to>
      <xdr:col>10</xdr:col>
      <xdr:colOff>1247775</xdr:colOff>
      <xdr:row>432</xdr:row>
      <xdr:rowOff>0</xdr:rowOff>
    </xdr:to>
    <xdr:graphicFrame macro="">
      <xdr:nvGraphicFramePr>
        <xdr:cNvPr id="43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3"/>
        </a:graphicData>
      </a:graphic>
    </xdr:graphicFrame>
    <xdr:clientData/>
  </xdr:twoCellAnchor>
  <xdr:twoCellAnchor>
    <xdr:from>
      <xdr:col>2</xdr:col>
      <xdr:colOff>914400</xdr:colOff>
      <xdr:row>432</xdr:row>
      <xdr:rowOff>0</xdr:rowOff>
    </xdr:from>
    <xdr:to>
      <xdr:col>10</xdr:col>
      <xdr:colOff>1247775</xdr:colOff>
      <xdr:row>432</xdr:row>
      <xdr:rowOff>0</xdr:rowOff>
    </xdr:to>
    <xdr:graphicFrame macro="">
      <xdr:nvGraphicFramePr>
        <xdr:cNvPr id="43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4"/>
        </a:graphicData>
      </a:graphic>
    </xdr:graphicFrame>
    <xdr:clientData/>
  </xdr:twoCellAnchor>
  <xdr:twoCellAnchor>
    <xdr:from>
      <xdr:col>2</xdr:col>
      <xdr:colOff>914400</xdr:colOff>
      <xdr:row>432</xdr:row>
      <xdr:rowOff>0</xdr:rowOff>
    </xdr:from>
    <xdr:to>
      <xdr:col>10</xdr:col>
      <xdr:colOff>1247775</xdr:colOff>
      <xdr:row>432</xdr:row>
      <xdr:rowOff>0</xdr:rowOff>
    </xdr:to>
    <xdr:graphicFrame macro="">
      <xdr:nvGraphicFramePr>
        <xdr:cNvPr id="43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5"/>
        </a:graphicData>
      </a:graphic>
    </xdr:graphicFrame>
    <xdr:clientData/>
  </xdr:twoCellAnchor>
  <xdr:twoCellAnchor>
    <xdr:from>
      <xdr:col>2</xdr:col>
      <xdr:colOff>914400</xdr:colOff>
      <xdr:row>432</xdr:row>
      <xdr:rowOff>0</xdr:rowOff>
    </xdr:from>
    <xdr:to>
      <xdr:col>10</xdr:col>
      <xdr:colOff>1247775</xdr:colOff>
      <xdr:row>432</xdr:row>
      <xdr:rowOff>0</xdr:rowOff>
    </xdr:to>
    <xdr:graphicFrame macro="">
      <xdr:nvGraphicFramePr>
        <xdr:cNvPr id="43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6"/>
        </a:graphicData>
      </a:graphic>
    </xdr:graphicFrame>
    <xdr:clientData/>
  </xdr:twoCellAnchor>
  <xdr:twoCellAnchor>
    <xdr:from>
      <xdr:col>2</xdr:col>
      <xdr:colOff>914400</xdr:colOff>
      <xdr:row>432</xdr:row>
      <xdr:rowOff>0</xdr:rowOff>
    </xdr:from>
    <xdr:to>
      <xdr:col>10</xdr:col>
      <xdr:colOff>1247775</xdr:colOff>
      <xdr:row>432</xdr:row>
      <xdr:rowOff>0</xdr:rowOff>
    </xdr:to>
    <xdr:graphicFrame macro="">
      <xdr:nvGraphicFramePr>
        <xdr:cNvPr id="43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7"/>
        </a:graphicData>
      </a:graphic>
    </xdr:graphicFrame>
    <xdr:clientData/>
  </xdr:twoCellAnchor>
  <xdr:twoCellAnchor>
    <xdr:from>
      <xdr:col>2</xdr:col>
      <xdr:colOff>914400</xdr:colOff>
      <xdr:row>432</xdr:row>
      <xdr:rowOff>0</xdr:rowOff>
    </xdr:from>
    <xdr:to>
      <xdr:col>10</xdr:col>
      <xdr:colOff>1247775</xdr:colOff>
      <xdr:row>432</xdr:row>
      <xdr:rowOff>0</xdr:rowOff>
    </xdr:to>
    <xdr:graphicFrame macro="">
      <xdr:nvGraphicFramePr>
        <xdr:cNvPr id="43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8"/>
        </a:graphicData>
      </a:graphic>
    </xdr:graphicFrame>
    <xdr:clientData/>
  </xdr:twoCellAnchor>
  <xdr:twoCellAnchor>
    <xdr:from>
      <xdr:col>2</xdr:col>
      <xdr:colOff>914400</xdr:colOff>
      <xdr:row>432</xdr:row>
      <xdr:rowOff>0</xdr:rowOff>
    </xdr:from>
    <xdr:to>
      <xdr:col>10</xdr:col>
      <xdr:colOff>1247775</xdr:colOff>
      <xdr:row>432</xdr:row>
      <xdr:rowOff>0</xdr:rowOff>
    </xdr:to>
    <xdr:graphicFrame macro="">
      <xdr:nvGraphicFramePr>
        <xdr:cNvPr id="44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9"/>
        </a:graphicData>
      </a:graphic>
    </xdr:graphicFrame>
    <xdr:clientData/>
  </xdr:twoCellAnchor>
  <xdr:twoCellAnchor>
    <xdr:from>
      <xdr:col>2</xdr:col>
      <xdr:colOff>914400</xdr:colOff>
      <xdr:row>432</xdr:row>
      <xdr:rowOff>0</xdr:rowOff>
    </xdr:from>
    <xdr:to>
      <xdr:col>10</xdr:col>
      <xdr:colOff>1247775</xdr:colOff>
      <xdr:row>432</xdr:row>
      <xdr:rowOff>0</xdr:rowOff>
    </xdr:to>
    <xdr:graphicFrame macro="">
      <xdr:nvGraphicFramePr>
        <xdr:cNvPr id="44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0"/>
        </a:graphicData>
      </a:graphic>
    </xdr:graphicFrame>
    <xdr:clientData/>
  </xdr:twoCellAnchor>
  <xdr:twoCellAnchor>
    <xdr:from>
      <xdr:col>2</xdr:col>
      <xdr:colOff>914400</xdr:colOff>
      <xdr:row>432</xdr:row>
      <xdr:rowOff>0</xdr:rowOff>
    </xdr:from>
    <xdr:to>
      <xdr:col>10</xdr:col>
      <xdr:colOff>1247775</xdr:colOff>
      <xdr:row>432</xdr:row>
      <xdr:rowOff>0</xdr:rowOff>
    </xdr:to>
    <xdr:graphicFrame macro="">
      <xdr:nvGraphicFramePr>
        <xdr:cNvPr id="44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1"/>
        </a:graphicData>
      </a:graphic>
    </xdr:graphicFrame>
    <xdr:clientData/>
  </xdr:twoCellAnchor>
  <xdr:twoCellAnchor>
    <xdr:from>
      <xdr:col>2</xdr:col>
      <xdr:colOff>914400</xdr:colOff>
      <xdr:row>432</xdr:row>
      <xdr:rowOff>0</xdr:rowOff>
    </xdr:from>
    <xdr:to>
      <xdr:col>10</xdr:col>
      <xdr:colOff>1247775</xdr:colOff>
      <xdr:row>432</xdr:row>
      <xdr:rowOff>0</xdr:rowOff>
    </xdr:to>
    <xdr:graphicFrame macro="">
      <xdr:nvGraphicFramePr>
        <xdr:cNvPr id="44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2"/>
        </a:graphicData>
      </a:graphic>
    </xdr:graphicFrame>
    <xdr:clientData/>
  </xdr:twoCellAnchor>
  <xdr:twoCellAnchor>
    <xdr:from>
      <xdr:col>2</xdr:col>
      <xdr:colOff>914400</xdr:colOff>
      <xdr:row>432</xdr:row>
      <xdr:rowOff>0</xdr:rowOff>
    </xdr:from>
    <xdr:to>
      <xdr:col>10</xdr:col>
      <xdr:colOff>1247775</xdr:colOff>
      <xdr:row>432</xdr:row>
      <xdr:rowOff>0</xdr:rowOff>
    </xdr:to>
    <xdr:graphicFrame macro="">
      <xdr:nvGraphicFramePr>
        <xdr:cNvPr id="44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3"/>
        </a:graphicData>
      </a:graphic>
    </xdr:graphicFrame>
    <xdr:clientData/>
  </xdr:twoCellAnchor>
  <xdr:twoCellAnchor>
    <xdr:from>
      <xdr:col>2</xdr:col>
      <xdr:colOff>914400</xdr:colOff>
      <xdr:row>432</xdr:row>
      <xdr:rowOff>0</xdr:rowOff>
    </xdr:from>
    <xdr:to>
      <xdr:col>10</xdr:col>
      <xdr:colOff>1247775</xdr:colOff>
      <xdr:row>432</xdr:row>
      <xdr:rowOff>0</xdr:rowOff>
    </xdr:to>
    <xdr:graphicFrame macro="">
      <xdr:nvGraphicFramePr>
        <xdr:cNvPr id="44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4"/>
        </a:graphicData>
      </a:graphic>
    </xdr:graphicFrame>
    <xdr:clientData/>
  </xdr:twoCellAnchor>
  <xdr:twoCellAnchor>
    <xdr:from>
      <xdr:col>2</xdr:col>
      <xdr:colOff>914400</xdr:colOff>
      <xdr:row>432</xdr:row>
      <xdr:rowOff>0</xdr:rowOff>
    </xdr:from>
    <xdr:to>
      <xdr:col>10</xdr:col>
      <xdr:colOff>1247775</xdr:colOff>
      <xdr:row>432</xdr:row>
      <xdr:rowOff>0</xdr:rowOff>
    </xdr:to>
    <xdr:graphicFrame macro="">
      <xdr:nvGraphicFramePr>
        <xdr:cNvPr id="44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5"/>
        </a:graphicData>
      </a:graphic>
    </xdr:graphicFrame>
    <xdr:clientData/>
  </xdr:twoCellAnchor>
  <xdr:twoCellAnchor>
    <xdr:from>
      <xdr:col>2</xdr:col>
      <xdr:colOff>914400</xdr:colOff>
      <xdr:row>432</xdr:row>
      <xdr:rowOff>0</xdr:rowOff>
    </xdr:from>
    <xdr:to>
      <xdr:col>10</xdr:col>
      <xdr:colOff>1247775</xdr:colOff>
      <xdr:row>432</xdr:row>
      <xdr:rowOff>0</xdr:rowOff>
    </xdr:to>
    <xdr:graphicFrame macro="">
      <xdr:nvGraphicFramePr>
        <xdr:cNvPr id="44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6"/>
        </a:graphicData>
      </a:graphic>
    </xdr:graphicFrame>
    <xdr:clientData/>
  </xdr:twoCellAnchor>
  <xdr:twoCellAnchor>
    <xdr:from>
      <xdr:col>2</xdr:col>
      <xdr:colOff>914400</xdr:colOff>
      <xdr:row>432</xdr:row>
      <xdr:rowOff>0</xdr:rowOff>
    </xdr:from>
    <xdr:to>
      <xdr:col>10</xdr:col>
      <xdr:colOff>1247775</xdr:colOff>
      <xdr:row>432</xdr:row>
      <xdr:rowOff>0</xdr:rowOff>
    </xdr:to>
    <xdr:graphicFrame macro="">
      <xdr:nvGraphicFramePr>
        <xdr:cNvPr id="44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7"/>
        </a:graphicData>
      </a:graphic>
    </xdr:graphicFrame>
    <xdr:clientData/>
  </xdr:twoCellAnchor>
  <xdr:twoCellAnchor>
    <xdr:from>
      <xdr:col>2</xdr:col>
      <xdr:colOff>914400</xdr:colOff>
      <xdr:row>432</xdr:row>
      <xdr:rowOff>0</xdr:rowOff>
    </xdr:from>
    <xdr:to>
      <xdr:col>10</xdr:col>
      <xdr:colOff>1247775</xdr:colOff>
      <xdr:row>432</xdr:row>
      <xdr:rowOff>0</xdr:rowOff>
    </xdr:to>
    <xdr:graphicFrame macro="">
      <xdr:nvGraphicFramePr>
        <xdr:cNvPr id="44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8"/>
        </a:graphicData>
      </a:graphic>
    </xdr:graphicFrame>
    <xdr:clientData/>
  </xdr:twoCellAnchor>
  <xdr:twoCellAnchor>
    <xdr:from>
      <xdr:col>2</xdr:col>
      <xdr:colOff>914400</xdr:colOff>
      <xdr:row>432</xdr:row>
      <xdr:rowOff>0</xdr:rowOff>
    </xdr:from>
    <xdr:to>
      <xdr:col>10</xdr:col>
      <xdr:colOff>1247775</xdr:colOff>
      <xdr:row>432</xdr:row>
      <xdr:rowOff>0</xdr:rowOff>
    </xdr:to>
    <xdr:graphicFrame macro="">
      <xdr:nvGraphicFramePr>
        <xdr:cNvPr id="45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9"/>
        </a:graphicData>
      </a:graphic>
    </xdr:graphicFrame>
    <xdr:clientData/>
  </xdr:twoCellAnchor>
  <xdr:twoCellAnchor>
    <xdr:from>
      <xdr:col>2</xdr:col>
      <xdr:colOff>914400</xdr:colOff>
      <xdr:row>432</xdr:row>
      <xdr:rowOff>0</xdr:rowOff>
    </xdr:from>
    <xdr:to>
      <xdr:col>10</xdr:col>
      <xdr:colOff>1247775</xdr:colOff>
      <xdr:row>432</xdr:row>
      <xdr:rowOff>0</xdr:rowOff>
    </xdr:to>
    <xdr:graphicFrame macro="">
      <xdr:nvGraphicFramePr>
        <xdr:cNvPr id="45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0"/>
        </a:graphicData>
      </a:graphic>
    </xdr:graphicFrame>
    <xdr:clientData/>
  </xdr:twoCellAnchor>
  <xdr:twoCellAnchor>
    <xdr:from>
      <xdr:col>2</xdr:col>
      <xdr:colOff>914400</xdr:colOff>
      <xdr:row>432</xdr:row>
      <xdr:rowOff>0</xdr:rowOff>
    </xdr:from>
    <xdr:to>
      <xdr:col>10</xdr:col>
      <xdr:colOff>1247775</xdr:colOff>
      <xdr:row>432</xdr:row>
      <xdr:rowOff>0</xdr:rowOff>
    </xdr:to>
    <xdr:graphicFrame macro="">
      <xdr:nvGraphicFramePr>
        <xdr:cNvPr id="45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1"/>
        </a:graphicData>
      </a:graphic>
    </xdr:graphicFrame>
    <xdr:clientData/>
  </xdr:twoCellAnchor>
  <xdr:twoCellAnchor>
    <xdr:from>
      <xdr:col>2</xdr:col>
      <xdr:colOff>914400</xdr:colOff>
      <xdr:row>432</xdr:row>
      <xdr:rowOff>0</xdr:rowOff>
    </xdr:from>
    <xdr:to>
      <xdr:col>10</xdr:col>
      <xdr:colOff>1247775</xdr:colOff>
      <xdr:row>432</xdr:row>
      <xdr:rowOff>0</xdr:rowOff>
    </xdr:to>
    <xdr:graphicFrame macro="">
      <xdr:nvGraphicFramePr>
        <xdr:cNvPr id="45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2"/>
        </a:graphicData>
      </a:graphic>
    </xdr:graphicFrame>
    <xdr:clientData/>
  </xdr:twoCellAnchor>
  <xdr:twoCellAnchor>
    <xdr:from>
      <xdr:col>2</xdr:col>
      <xdr:colOff>914400</xdr:colOff>
      <xdr:row>432</xdr:row>
      <xdr:rowOff>0</xdr:rowOff>
    </xdr:from>
    <xdr:to>
      <xdr:col>10</xdr:col>
      <xdr:colOff>1247775</xdr:colOff>
      <xdr:row>432</xdr:row>
      <xdr:rowOff>0</xdr:rowOff>
    </xdr:to>
    <xdr:graphicFrame macro="">
      <xdr:nvGraphicFramePr>
        <xdr:cNvPr id="45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3"/>
        </a:graphicData>
      </a:graphic>
    </xdr:graphicFrame>
    <xdr:clientData/>
  </xdr:twoCellAnchor>
  <xdr:twoCellAnchor>
    <xdr:from>
      <xdr:col>2</xdr:col>
      <xdr:colOff>914400</xdr:colOff>
      <xdr:row>432</xdr:row>
      <xdr:rowOff>0</xdr:rowOff>
    </xdr:from>
    <xdr:to>
      <xdr:col>10</xdr:col>
      <xdr:colOff>1247775</xdr:colOff>
      <xdr:row>432</xdr:row>
      <xdr:rowOff>0</xdr:rowOff>
    </xdr:to>
    <xdr:graphicFrame macro="">
      <xdr:nvGraphicFramePr>
        <xdr:cNvPr id="45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4"/>
        </a:graphicData>
      </a:graphic>
    </xdr:graphicFrame>
    <xdr:clientData/>
  </xdr:twoCellAnchor>
  <xdr:twoCellAnchor>
    <xdr:from>
      <xdr:col>2</xdr:col>
      <xdr:colOff>914400</xdr:colOff>
      <xdr:row>432</xdr:row>
      <xdr:rowOff>0</xdr:rowOff>
    </xdr:from>
    <xdr:to>
      <xdr:col>10</xdr:col>
      <xdr:colOff>1247775</xdr:colOff>
      <xdr:row>432</xdr:row>
      <xdr:rowOff>0</xdr:rowOff>
    </xdr:to>
    <xdr:graphicFrame macro="">
      <xdr:nvGraphicFramePr>
        <xdr:cNvPr id="45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5"/>
        </a:graphicData>
      </a:graphic>
    </xdr:graphicFrame>
    <xdr:clientData/>
  </xdr:twoCellAnchor>
  <xdr:twoCellAnchor>
    <xdr:from>
      <xdr:col>2</xdr:col>
      <xdr:colOff>914400</xdr:colOff>
      <xdr:row>432</xdr:row>
      <xdr:rowOff>0</xdr:rowOff>
    </xdr:from>
    <xdr:to>
      <xdr:col>10</xdr:col>
      <xdr:colOff>1247775</xdr:colOff>
      <xdr:row>432</xdr:row>
      <xdr:rowOff>0</xdr:rowOff>
    </xdr:to>
    <xdr:graphicFrame macro="">
      <xdr:nvGraphicFramePr>
        <xdr:cNvPr id="45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6"/>
        </a:graphicData>
      </a:graphic>
    </xdr:graphicFrame>
    <xdr:clientData/>
  </xdr:twoCellAnchor>
  <xdr:twoCellAnchor>
    <xdr:from>
      <xdr:col>2</xdr:col>
      <xdr:colOff>914400</xdr:colOff>
      <xdr:row>432</xdr:row>
      <xdr:rowOff>0</xdr:rowOff>
    </xdr:from>
    <xdr:to>
      <xdr:col>10</xdr:col>
      <xdr:colOff>1247775</xdr:colOff>
      <xdr:row>432</xdr:row>
      <xdr:rowOff>0</xdr:rowOff>
    </xdr:to>
    <xdr:graphicFrame macro="">
      <xdr:nvGraphicFramePr>
        <xdr:cNvPr id="45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7"/>
        </a:graphicData>
      </a:graphic>
    </xdr:graphicFrame>
    <xdr:clientData/>
  </xdr:twoCellAnchor>
  <xdr:twoCellAnchor>
    <xdr:from>
      <xdr:col>2</xdr:col>
      <xdr:colOff>914400</xdr:colOff>
      <xdr:row>432</xdr:row>
      <xdr:rowOff>0</xdr:rowOff>
    </xdr:from>
    <xdr:to>
      <xdr:col>10</xdr:col>
      <xdr:colOff>1247775</xdr:colOff>
      <xdr:row>432</xdr:row>
      <xdr:rowOff>0</xdr:rowOff>
    </xdr:to>
    <xdr:graphicFrame macro="">
      <xdr:nvGraphicFramePr>
        <xdr:cNvPr id="45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8"/>
        </a:graphicData>
      </a:graphic>
    </xdr:graphicFrame>
    <xdr:clientData/>
  </xdr:twoCellAnchor>
  <xdr:twoCellAnchor>
    <xdr:from>
      <xdr:col>2</xdr:col>
      <xdr:colOff>914400</xdr:colOff>
      <xdr:row>432</xdr:row>
      <xdr:rowOff>0</xdr:rowOff>
    </xdr:from>
    <xdr:to>
      <xdr:col>10</xdr:col>
      <xdr:colOff>1247775</xdr:colOff>
      <xdr:row>432</xdr:row>
      <xdr:rowOff>0</xdr:rowOff>
    </xdr:to>
    <xdr:graphicFrame macro="">
      <xdr:nvGraphicFramePr>
        <xdr:cNvPr id="46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9"/>
        </a:graphicData>
      </a:graphic>
    </xdr:graphicFrame>
    <xdr:clientData/>
  </xdr:twoCellAnchor>
  <xdr:twoCellAnchor>
    <xdr:from>
      <xdr:col>2</xdr:col>
      <xdr:colOff>914400</xdr:colOff>
      <xdr:row>432</xdr:row>
      <xdr:rowOff>0</xdr:rowOff>
    </xdr:from>
    <xdr:to>
      <xdr:col>10</xdr:col>
      <xdr:colOff>1247775</xdr:colOff>
      <xdr:row>432</xdr:row>
      <xdr:rowOff>0</xdr:rowOff>
    </xdr:to>
    <xdr:graphicFrame macro="">
      <xdr:nvGraphicFramePr>
        <xdr:cNvPr id="46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0"/>
        </a:graphicData>
      </a:graphic>
    </xdr:graphicFrame>
    <xdr:clientData/>
  </xdr:twoCellAnchor>
  <xdr:twoCellAnchor>
    <xdr:from>
      <xdr:col>2</xdr:col>
      <xdr:colOff>914400</xdr:colOff>
      <xdr:row>432</xdr:row>
      <xdr:rowOff>0</xdr:rowOff>
    </xdr:from>
    <xdr:to>
      <xdr:col>10</xdr:col>
      <xdr:colOff>1247775</xdr:colOff>
      <xdr:row>432</xdr:row>
      <xdr:rowOff>0</xdr:rowOff>
    </xdr:to>
    <xdr:graphicFrame macro="">
      <xdr:nvGraphicFramePr>
        <xdr:cNvPr id="46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1"/>
        </a:graphicData>
      </a:graphic>
    </xdr:graphicFrame>
    <xdr:clientData/>
  </xdr:twoCellAnchor>
  <xdr:twoCellAnchor>
    <xdr:from>
      <xdr:col>2</xdr:col>
      <xdr:colOff>914400</xdr:colOff>
      <xdr:row>432</xdr:row>
      <xdr:rowOff>0</xdr:rowOff>
    </xdr:from>
    <xdr:to>
      <xdr:col>10</xdr:col>
      <xdr:colOff>1247775</xdr:colOff>
      <xdr:row>432</xdr:row>
      <xdr:rowOff>0</xdr:rowOff>
    </xdr:to>
    <xdr:graphicFrame macro="">
      <xdr:nvGraphicFramePr>
        <xdr:cNvPr id="46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2"/>
        </a:graphicData>
      </a:graphic>
    </xdr:graphicFrame>
    <xdr:clientData/>
  </xdr:twoCellAnchor>
  <xdr:twoCellAnchor>
    <xdr:from>
      <xdr:col>2</xdr:col>
      <xdr:colOff>914400</xdr:colOff>
      <xdr:row>432</xdr:row>
      <xdr:rowOff>0</xdr:rowOff>
    </xdr:from>
    <xdr:to>
      <xdr:col>10</xdr:col>
      <xdr:colOff>1247775</xdr:colOff>
      <xdr:row>432</xdr:row>
      <xdr:rowOff>0</xdr:rowOff>
    </xdr:to>
    <xdr:graphicFrame macro="">
      <xdr:nvGraphicFramePr>
        <xdr:cNvPr id="46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3"/>
        </a:graphicData>
      </a:graphic>
    </xdr:graphicFrame>
    <xdr:clientData/>
  </xdr:twoCellAnchor>
  <xdr:twoCellAnchor>
    <xdr:from>
      <xdr:col>2</xdr:col>
      <xdr:colOff>914400</xdr:colOff>
      <xdr:row>432</xdr:row>
      <xdr:rowOff>0</xdr:rowOff>
    </xdr:from>
    <xdr:to>
      <xdr:col>10</xdr:col>
      <xdr:colOff>1247775</xdr:colOff>
      <xdr:row>432</xdr:row>
      <xdr:rowOff>0</xdr:rowOff>
    </xdr:to>
    <xdr:graphicFrame macro="">
      <xdr:nvGraphicFramePr>
        <xdr:cNvPr id="46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4"/>
        </a:graphicData>
      </a:graphic>
    </xdr:graphicFrame>
    <xdr:clientData/>
  </xdr:twoCellAnchor>
  <xdr:twoCellAnchor>
    <xdr:from>
      <xdr:col>2</xdr:col>
      <xdr:colOff>914400</xdr:colOff>
      <xdr:row>432</xdr:row>
      <xdr:rowOff>0</xdr:rowOff>
    </xdr:from>
    <xdr:to>
      <xdr:col>10</xdr:col>
      <xdr:colOff>1247775</xdr:colOff>
      <xdr:row>432</xdr:row>
      <xdr:rowOff>0</xdr:rowOff>
    </xdr:to>
    <xdr:graphicFrame macro="">
      <xdr:nvGraphicFramePr>
        <xdr:cNvPr id="46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5"/>
        </a:graphicData>
      </a:graphic>
    </xdr:graphicFrame>
    <xdr:clientData/>
  </xdr:twoCellAnchor>
  <xdr:twoCellAnchor>
    <xdr:from>
      <xdr:col>2</xdr:col>
      <xdr:colOff>914400</xdr:colOff>
      <xdr:row>432</xdr:row>
      <xdr:rowOff>0</xdr:rowOff>
    </xdr:from>
    <xdr:to>
      <xdr:col>10</xdr:col>
      <xdr:colOff>1247775</xdr:colOff>
      <xdr:row>432</xdr:row>
      <xdr:rowOff>0</xdr:rowOff>
    </xdr:to>
    <xdr:graphicFrame macro="">
      <xdr:nvGraphicFramePr>
        <xdr:cNvPr id="46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6"/>
        </a:graphicData>
      </a:graphic>
    </xdr:graphicFrame>
    <xdr:clientData/>
  </xdr:twoCellAnchor>
  <xdr:twoCellAnchor>
    <xdr:from>
      <xdr:col>2</xdr:col>
      <xdr:colOff>914400</xdr:colOff>
      <xdr:row>502</xdr:row>
      <xdr:rowOff>0</xdr:rowOff>
    </xdr:from>
    <xdr:to>
      <xdr:col>10</xdr:col>
      <xdr:colOff>1247775</xdr:colOff>
      <xdr:row>502</xdr:row>
      <xdr:rowOff>0</xdr:rowOff>
    </xdr:to>
    <xdr:graphicFrame macro="">
      <xdr:nvGraphicFramePr>
        <xdr:cNvPr id="46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7"/>
        </a:graphicData>
      </a:graphic>
    </xdr:graphicFrame>
    <xdr:clientData/>
  </xdr:twoCellAnchor>
  <xdr:twoCellAnchor>
    <xdr:from>
      <xdr:col>2</xdr:col>
      <xdr:colOff>914400</xdr:colOff>
      <xdr:row>502</xdr:row>
      <xdr:rowOff>0</xdr:rowOff>
    </xdr:from>
    <xdr:to>
      <xdr:col>10</xdr:col>
      <xdr:colOff>1247775</xdr:colOff>
      <xdr:row>502</xdr:row>
      <xdr:rowOff>0</xdr:rowOff>
    </xdr:to>
    <xdr:graphicFrame macro="">
      <xdr:nvGraphicFramePr>
        <xdr:cNvPr id="47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8"/>
        </a:graphicData>
      </a:graphic>
    </xdr:graphicFrame>
    <xdr:clientData/>
  </xdr:twoCellAnchor>
  <xdr:twoCellAnchor>
    <xdr:from>
      <xdr:col>2</xdr:col>
      <xdr:colOff>914400</xdr:colOff>
      <xdr:row>502</xdr:row>
      <xdr:rowOff>0</xdr:rowOff>
    </xdr:from>
    <xdr:to>
      <xdr:col>10</xdr:col>
      <xdr:colOff>1247775</xdr:colOff>
      <xdr:row>502</xdr:row>
      <xdr:rowOff>0</xdr:rowOff>
    </xdr:to>
    <xdr:graphicFrame macro="">
      <xdr:nvGraphicFramePr>
        <xdr:cNvPr id="47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9"/>
        </a:graphicData>
      </a:graphic>
    </xdr:graphicFrame>
    <xdr:clientData/>
  </xdr:twoCellAnchor>
  <xdr:twoCellAnchor>
    <xdr:from>
      <xdr:col>2</xdr:col>
      <xdr:colOff>914400</xdr:colOff>
      <xdr:row>502</xdr:row>
      <xdr:rowOff>0</xdr:rowOff>
    </xdr:from>
    <xdr:to>
      <xdr:col>10</xdr:col>
      <xdr:colOff>1247775</xdr:colOff>
      <xdr:row>502</xdr:row>
      <xdr:rowOff>0</xdr:rowOff>
    </xdr:to>
    <xdr:graphicFrame macro="">
      <xdr:nvGraphicFramePr>
        <xdr:cNvPr id="47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0"/>
        </a:graphicData>
      </a:graphic>
    </xdr:graphicFrame>
    <xdr:clientData/>
  </xdr:twoCellAnchor>
  <xdr:twoCellAnchor>
    <xdr:from>
      <xdr:col>2</xdr:col>
      <xdr:colOff>914400</xdr:colOff>
      <xdr:row>502</xdr:row>
      <xdr:rowOff>0</xdr:rowOff>
    </xdr:from>
    <xdr:to>
      <xdr:col>10</xdr:col>
      <xdr:colOff>1247775</xdr:colOff>
      <xdr:row>502</xdr:row>
      <xdr:rowOff>0</xdr:rowOff>
    </xdr:to>
    <xdr:graphicFrame macro="">
      <xdr:nvGraphicFramePr>
        <xdr:cNvPr id="47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1"/>
        </a:graphicData>
      </a:graphic>
    </xdr:graphicFrame>
    <xdr:clientData/>
  </xdr:twoCellAnchor>
  <xdr:twoCellAnchor>
    <xdr:from>
      <xdr:col>2</xdr:col>
      <xdr:colOff>914400</xdr:colOff>
      <xdr:row>502</xdr:row>
      <xdr:rowOff>0</xdr:rowOff>
    </xdr:from>
    <xdr:to>
      <xdr:col>10</xdr:col>
      <xdr:colOff>1247775</xdr:colOff>
      <xdr:row>502</xdr:row>
      <xdr:rowOff>0</xdr:rowOff>
    </xdr:to>
    <xdr:graphicFrame macro="">
      <xdr:nvGraphicFramePr>
        <xdr:cNvPr id="47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2"/>
        </a:graphicData>
      </a:graphic>
    </xdr:graphicFrame>
    <xdr:clientData/>
  </xdr:twoCellAnchor>
  <xdr:twoCellAnchor>
    <xdr:from>
      <xdr:col>2</xdr:col>
      <xdr:colOff>914400</xdr:colOff>
      <xdr:row>502</xdr:row>
      <xdr:rowOff>0</xdr:rowOff>
    </xdr:from>
    <xdr:to>
      <xdr:col>10</xdr:col>
      <xdr:colOff>1247775</xdr:colOff>
      <xdr:row>502</xdr:row>
      <xdr:rowOff>0</xdr:rowOff>
    </xdr:to>
    <xdr:graphicFrame macro="">
      <xdr:nvGraphicFramePr>
        <xdr:cNvPr id="47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3"/>
        </a:graphicData>
      </a:graphic>
    </xdr:graphicFrame>
    <xdr:clientData/>
  </xdr:twoCellAnchor>
  <xdr:twoCellAnchor>
    <xdr:from>
      <xdr:col>2</xdr:col>
      <xdr:colOff>914400</xdr:colOff>
      <xdr:row>502</xdr:row>
      <xdr:rowOff>0</xdr:rowOff>
    </xdr:from>
    <xdr:to>
      <xdr:col>10</xdr:col>
      <xdr:colOff>1247775</xdr:colOff>
      <xdr:row>502</xdr:row>
      <xdr:rowOff>0</xdr:rowOff>
    </xdr:to>
    <xdr:graphicFrame macro="">
      <xdr:nvGraphicFramePr>
        <xdr:cNvPr id="47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4"/>
        </a:graphicData>
      </a:graphic>
    </xdr:graphicFrame>
    <xdr:clientData/>
  </xdr:twoCellAnchor>
  <xdr:twoCellAnchor>
    <xdr:from>
      <xdr:col>2</xdr:col>
      <xdr:colOff>914400</xdr:colOff>
      <xdr:row>502</xdr:row>
      <xdr:rowOff>0</xdr:rowOff>
    </xdr:from>
    <xdr:to>
      <xdr:col>10</xdr:col>
      <xdr:colOff>1247775</xdr:colOff>
      <xdr:row>502</xdr:row>
      <xdr:rowOff>0</xdr:rowOff>
    </xdr:to>
    <xdr:graphicFrame macro="">
      <xdr:nvGraphicFramePr>
        <xdr:cNvPr id="47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5"/>
        </a:graphicData>
      </a:graphic>
    </xdr:graphicFrame>
    <xdr:clientData/>
  </xdr:twoCellAnchor>
  <xdr:twoCellAnchor>
    <xdr:from>
      <xdr:col>2</xdr:col>
      <xdr:colOff>914400</xdr:colOff>
      <xdr:row>502</xdr:row>
      <xdr:rowOff>0</xdr:rowOff>
    </xdr:from>
    <xdr:to>
      <xdr:col>10</xdr:col>
      <xdr:colOff>1247775</xdr:colOff>
      <xdr:row>502</xdr:row>
      <xdr:rowOff>0</xdr:rowOff>
    </xdr:to>
    <xdr:graphicFrame macro="">
      <xdr:nvGraphicFramePr>
        <xdr:cNvPr id="47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6"/>
        </a:graphicData>
      </a:graphic>
    </xdr:graphicFrame>
    <xdr:clientData/>
  </xdr:twoCellAnchor>
  <xdr:twoCellAnchor>
    <xdr:from>
      <xdr:col>2</xdr:col>
      <xdr:colOff>914400</xdr:colOff>
      <xdr:row>502</xdr:row>
      <xdr:rowOff>0</xdr:rowOff>
    </xdr:from>
    <xdr:to>
      <xdr:col>10</xdr:col>
      <xdr:colOff>1247775</xdr:colOff>
      <xdr:row>502</xdr:row>
      <xdr:rowOff>0</xdr:rowOff>
    </xdr:to>
    <xdr:graphicFrame macro="">
      <xdr:nvGraphicFramePr>
        <xdr:cNvPr id="47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7"/>
        </a:graphicData>
      </a:graphic>
    </xdr:graphicFrame>
    <xdr:clientData/>
  </xdr:twoCellAnchor>
  <xdr:twoCellAnchor>
    <xdr:from>
      <xdr:col>2</xdr:col>
      <xdr:colOff>914400</xdr:colOff>
      <xdr:row>502</xdr:row>
      <xdr:rowOff>0</xdr:rowOff>
    </xdr:from>
    <xdr:to>
      <xdr:col>10</xdr:col>
      <xdr:colOff>1247775</xdr:colOff>
      <xdr:row>502</xdr:row>
      <xdr:rowOff>0</xdr:rowOff>
    </xdr:to>
    <xdr:graphicFrame macro="">
      <xdr:nvGraphicFramePr>
        <xdr:cNvPr id="48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8"/>
        </a:graphicData>
      </a:graphic>
    </xdr:graphicFrame>
    <xdr:clientData/>
  </xdr:twoCellAnchor>
  <xdr:twoCellAnchor>
    <xdr:from>
      <xdr:col>2</xdr:col>
      <xdr:colOff>914400</xdr:colOff>
      <xdr:row>502</xdr:row>
      <xdr:rowOff>0</xdr:rowOff>
    </xdr:from>
    <xdr:to>
      <xdr:col>10</xdr:col>
      <xdr:colOff>1247775</xdr:colOff>
      <xdr:row>502</xdr:row>
      <xdr:rowOff>0</xdr:rowOff>
    </xdr:to>
    <xdr:graphicFrame macro="">
      <xdr:nvGraphicFramePr>
        <xdr:cNvPr id="48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9"/>
        </a:graphicData>
      </a:graphic>
    </xdr:graphicFrame>
    <xdr:clientData/>
  </xdr:twoCellAnchor>
  <xdr:twoCellAnchor>
    <xdr:from>
      <xdr:col>2</xdr:col>
      <xdr:colOff>914400</xdr:colOff>
      <xdr:row>502</xdr:row>
      <xdr:rowOff>0</xdr:rowOff>
    </xdr:from>
    <xdr:to>
      <xdr:col>10</xdr:col>
      <xdr:colOff>1247775</xdr:colOff>
      <xdr:row>502</xdr:row>
      <xdr:rowOff>0</xdr:rowOff>
    </xdr:to>
    <xdr:graphicFrame macro="">
      <xdr:nvGraphicFramePr>
        <xdr:cNvPr id="48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0"/>
        </a:graphicData>
      </a:graphic>
    </xdr:graphicFrame>
    <xdr:clientData/>
  </xdr:twoCellAnchor>
  <xdr:twoCellAnchor>
    <xdr:from>
      <xdr:col>2</xdr:col>
      <xdr:colOff>914400</xdr:colOff>
      <xdr:row>502</xdr:row>
      <xdr:rowOff>0</xdr:rowOff>
    </xdr:from>
    <xdr:to>
      <xdr:col>10</xdr:col>
      <xdr:colOff>1247775</xdr:colOff>
      <xdr:row>502</xdr:row>
      <xdr:rowOff>0</xdr:rowOff>
    </xdr:to>
    <xdr:graphicFrame macro="">
      <xdr:nvGraphicFramePr>
        <xdr:cNvPr id="48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1"/>
        </a:graphicData>
      </a:graphic>
    </xdr:graphicFrame>
    <xdr:clientData/>
  </xdr:twoCellAnchor>
  <xdr:twoCellAnchor>
    <xdr:from>
      <xdr:col>2</xdr:col>
      <xdr:colOff>914400</xdr:colOff>
      <xdr:row>502</xdr:row>
      <xdr:rowOff>0</xdr:rowOff>
    </xdr:from>
    <xdr:to>
      <xdr:col>10</xdr:col>
      <xdr:colOff>1247775</xdr:colOff>
      <xdr:row>502</xdr:row>
      <xdr:rowOff>0</xdr:rowOff>
    </xdr:to>
    <xdr:graphicFrame macro="">
      <xdr:nvGraphicFramePr>
        <xdr:cNvPr id="48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2"/>
        </a:graphicData>
      </a:graphic>
    </xdr:graphicFrame>
    <xdr:clientData/>
  </xdr:twoCellAnchor>
  <xdr:twoCellAnchor>
    <xdr:from>
      <xdr:col>2</xdr:col>
      <xdr:colOff>914400</xdr:colOff>
      <xdr:row>502</xdr:row>
      <xdr:rowOff>0</xdr:rowOff>
    </xdr:from>
    <xdr:to>
      <xdr:col>10</xdr:col>
      <xdr:colOff>1247775</xdr:colOff>
      <xdr:row>502</xdr:row>
      <xdr:rowOff>0</xdr:rowOff>
    </xdr:to>
    <xdr:graphicFrame macro="">
      <xdr:nvGraphicFramePr>
        <xdr:cNvPr id="48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3"/>
        </a:graphicData>
      </a:graphic>
    </xdr:graphicFrame>
    <xdr:clientData/>
  </xdr:twoCellAnchor>
  <xdr:twoCellAnchor>
    <xdr:from>
      <xdr:col>2</xdr:col>
      <xdr:colOff>914400</xdr:colOff>
      <xdr:row>502</xdr:row>
      <xdr:rowOff>0</xdr:rowOff>
    </xdr:from>
    <xdr:to>
      <xdr:col>10</xdr:col>
      <xdr:colOff>1247775</xdr:colOff>
      <xdr:row>502</xdr:row>
      <xdr:rowOff>0</xdr:rowOff>
    </xdr:to>
    <xdr:graphicFrame macro="">
      <xdr:nvGraphicFramePr>
        <xdr:cNvPr id="48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4"/>
        </a:graphicData>
      </a:graphic>
    </xdr:graphicFrame>
    <xdr:clientData/>
  </xdr:twoCellAnchor>
  <xdr:twoCellAnchor>
    <xdr:from>
      <xdr:col>2</xdr:col>
      <xdr:colOff>914400</xdr:colOff>
      <xdr:row>502</xdr:row>
      <xdr:rowOff>0</xdr:rowOff>
    </xdr:from>
    <xdr:to>
      <xdr:col>10</xdr:col>
      <xdr:colOff>1247775</xdr:colOff>
      <xdr:row>502</xdr:row>
      <xdr:rowOff>0</xdr:rowOff>
    </xdr:to>
    <xdr:graphicFrame macro="">
      <xdr:nvGraphicFramePr>
        <xdr:cNvPr id="48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5"/>
        </a:graphicData>
      </a:graphic>
    </xdr:graphicFrame>
    <xdr:clientData/>
  </xdr:twoCellAnchor>
  <xdr:twoCellAnchor>
    <xdr:from>
      <xdr:col>2</xdr:col>
      <xdr:colOff>914400</xdr:colOff>
      <xdr:row>502</xdr:row>
      <xdr:rowOff>0</xdr:rowOff>
    </xdr:from>
    <xdr:to>
      <xdr:col>10</xdr:col>
      <xdr:colOff>1247775</xdr:colOff>
      <xdr:row>502</xdr:row>
      <xdr:rowOff>0</xdr:rowOff>
    </xdr:to>
    <xdr:graphicFrame macro="">
      <xdr:nvGraphicFramePr>
        <xdr:cNvPr id="48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6"/>
        </a:graphicData>
      </a:graphic>
    </xdr:graphicFrame>
    <xdr:clientData/>
  </xdr:twoCellAnchor>
  <xdr:twoCellAnchor>
    <xdr:from>
      <xdr:col>2</xdr:col>
      <xdr:colOff>914400</xdr:colOff>
      <xdr:row>502</xdr:row>
      <xdr:rowOff>0</xdr:rowOff>
    </xdr:from>
    <xdr:to>
      <xdr:col>10</xdr:col>
      <xdr:colOff>1247775</xdr:colOff>
      <xdr:row>502</xdr:row>
      <xdr:rowOff>0</xdr:rowOff>
    </xdr:to>
    <xdr:graphicFrame macro="">
      <xdr:nvGraphicFramePr>
        <xdr:cNvPr id="48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7"/>
        </a:graphicData>
      </a:graphic>
    </xdr:graphicFrame>
    <xdr:clientData/>
  </xdr:twoCellAnchor>
  <xdr:twoCellAnchor>
    <xdr:from>
      <xdr:col>2</xdr:col>
      <xdr:colOff>914400</xdr:colOff>
      <xdr:row>502</xdr:row>
      <xdr:rowOff>0</xdr:rowOff>
    </xdr:from>
    <xdr:to>
      <xdr:col>10</xdr:col>
      <xdr:colOff>1247775</xdr:colOff>
      <xdr:row>502</xdr:row>
      <xdr:rowOff>0</xdr:rowOff>
    </xdr:to>
    <xdr:graphicFrame macro="">
      <xdr:nvGraphicFramePr>
        <xdr:cNvPr id="49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8"/>
        </a:graphicData>
      </a:graphic>
    </xdr:graphicFrame>
    <xdr:clientData/>
  </xdr:twoCellAnchor>
  <xdr:twoCellAnchor>
    <xdr:from>
      <xdr:col>2</xdr:col>
      <xdr:colOff>914400</xdr:colOff>
      <xdr:row>502</xdr:row>
      <xdr:rowOff>0</xdr:rowOff>
    </xdr:from>
    <xdr:to>
      <xdr:col>10</xdr:col>
      <xdr:colOff>1247775</xdr:colOff>
      <xdr:row>502</xdr:row>
      <xdr:rowOff>0</xdr:rowOff>
    </xdr:to>
    <xdr:graphicFrame macro="">
      <xdr:nvGraphicFramePr>
        <xdr:cNvPr id="49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9"/>
        </a:graphicData>
      </a:graphic>
    </xdr:graphicFrame>
    <xdr:clientData/>
  </xdr:twoCellAnchor>
  <xdr:twoCellAnchor>
    <xdr:from>
      <xdr:col>2</xdr:col>
      <xdr:colOff>914400</xdr:colOff>
      <xdr:row>502</xdr:row>
      <xdr:rowOff>0</xdr:rowOff>
    </xdr:from>
    <xdr:to>
      <xdr:col>10</xdr:col>
      <xdr:colOff>1247775</xdr:colOff>
      <xdr:row>502</xdr:row>
      <xdr:rowOff>0</xdr:rowOff>
    </xdr:to>
    <xdr:graphicFrame macro="">
      <xdr:nvGraphicFramePr>
        <xdr:cNvPr id="49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0"/>
        </a:graphicData>
      </a:graphic>
    </xdr:graphicFrame>
    <xdr:clientData/>
  </xdr:twoCellAnchor>
  <xdr:twoCellAnchor>
    <xdr:from>
      <xdr:col>2</xdr:col>
      <xdr:colOff>914400</xdr:colOff>
      <xdr:row>502</xdr:row>
      <xdr:rowOff>0</xdr:rowOff>
    </xdr:from>
    <xdr:to>
      <xdr:col>10</xdr:col>
      <xdr:colOff>1247775</xdr:colOff>
      <xdr:row>502</xdr:row>
      <xdr:rowOff>0</xdr:rowOff>
    </xdr:to>
    <xdr:graphicFrame macro="">
      <xdr:nvGraphicFramePr>
        <xdr:cNvPr id="49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1"/>
        </a:graphicData>
      </a:graphic>
    </xdr:graphicFrame>
    <xdr:clientData/>
  </xdr:twoCellAnchor>
  <xdr:twoCellAnchor>
    <xdr:from>
      <xdr:col>2</xdr:col>
      <xdr:colOff>914400</xdr:colOff>
      <xdr:row>502</xdr:row>
      <xdr:rowOff>0</xdr:rowOff>
    </xdr:from>
    <xdr:to>
      <xdr:col>10</xdr:col>
      <xdr:colOff>1247775</xdr:colOff>
      <xdr:row>502</xdr:row>
      <xdr:rowOff>0</xdr:rowOff>
    </xdr:to>
    <xdr:graphicFrame macro="">
      <xdr:nvGraphicFramePr>
        <xdr:cNvPr id="49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2"/>
        </a:graphicData>
      </a:graphic>
    </xdr:graphicFrame>
    <xdr:clientData/>
  </xdr:twoCellAnchor>
  <xdr:twoCellAnchor>
    <xdr:from>
      <xdr:col>2</xdr:col>
      <xdr:colOff>914400</xdr:colOff>
      <xdr:row>502</xdr:row>
      <xdr:rowOff>0</xdr:rowOff>
    </xdr:from>
    <xdr:to>
      <xdr:col>10</xdr:col>
      <xdr:colOff>1247775</xdr:colOff>
      <xdr:row>502</xdr:row>
      <xdr:rowOff>0</xdr:rowOff>
    </xdr:to>
    <xdr:graphicFrame macro="">
      <xdr:nvGraphicFramePr>
        <xdr:cNvPr id="49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3"/>
        </a:graphicData>
      </a:graphic>
    </xdr:graphicFrame>
    <xdr:clientData/>
  </xdr:twoCellAnchor>
  <xdr:twoCellAnchor>
    <xdr:from>
      <xdr:col>2</xdr:col>
      <xdr:colOff>914400</xdr:colOff>
      <xdr:row>502</xdr:row>
      <xdr:rowOff>0</xdr:rowOff>
    </xdr:from>
    <xdr:to>
      <xdr:col>10</xdr:col>
      <xdr:colOff>1247775</xdr:colOff>
      <xdr:row>502</xdr:row>
      <xdr:rowOff>0</xdr:rowOff>
    </xdr:to>
    <xdr:graphicFrame macro="">
      <xdr:nvGraphicFramePr>
        <xdr:cNvPr id="49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4"/>
        </a:graphicData>
      </a:graphic>
    </xdr:graphicFrame>
    <xdr:clientData/>
  </xdr:twoCellAnchor>
  <xdr:twoCellAnchor>
    <xdr:from>
      <xdr:col>2</xdr:col>
      <xdr:colOff>914400</xdr:colOff>
      <xdr:row>502</xdr:row>
      <xdr:rowOff>0</xdr:rowOff>
    </xdr:from>
    <xdr:to>
      <xdr:col>10</xdr:col>
      <xdr:colOff>1247775</xdr:colOff>
      <xdr:row>502</xdr:row>
      <xdr:rowOff>0</xdr:rowOff>
    </xdr:to>
    <xdr:graphicFrame macro="">
      <xdr:nvGraphicFramePr>
        <xdr:cNvPr id="49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5"/>
        </a:graphicData>
      </a:graphic>
    </xdr:graphicFrame>
    <xdr:clientData/>
  </xdr:twoCellAnchor>
  <xdr:twoCellAnchor>
    <xdr:from>
      <xdr:col>2</xdr:col>
      <xdr:colOff>914400</xdr:colOff>
      <xdr:row>502</xdr:row>
      <xdr:rowOff>0</xdr:rowOff>
    </xdr:from>
    <xdr:to>
      <xdr:col>10</xdr:col>
      <xdr:colOff>1247775</xdr:colOff>
      <xdr:row>502</xdr:row>
      <xdr:rowOff>0</xdr:rowOff>
    </xdr:to>
    <xdr:graphicFrame macro="">
      <xdr:nvGraphicFramePr>
        <xdr:cNvPr id="49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6"/>
        </a:graphicData>
      </a:graphic>
    </xdr:graphicFrame>
    <xdr:clientData/>
  </xdr:twoCellAnchor>
  <xdr:twoCellAnchor>
    <xdr:from>
      <xdr:col>2</xdr:col>
      <xdr:colOff>914400</xdr:colOff>
      <xdr:row>502</xdr:row>
      <xdr:rowOff>0</xdr:rowOff>
    </xdr:from>
    <xdr:to>
      <xdr:col>10</xdr:col>
      <xdr:colOff>1247775</xdr:colOff>
      <xdr:row>502</xdr:row>
      <xdr:rowOff>0</xdr:rowOff>
    </xdr:to>
    <xdr:graphicFrame macro="">
      <xdr:nvGraphicFramePr>
        <xdr:cNvPr id="49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7"/>
        </a:graphicData>
      </a:graphic>
    </xdr:graphicFrame>
    <xdr:clientData/>
  </xdr:twoCellAnchor>
  <xdr:twoCellAnchor>
    <xdr:from>
      <xdr:col>2</xdr:col>
      <xdr:colOff>914400</xdr:colOff>
      <xdr:row>502</xdr:row>
      <xdr:rowOff>0</xdr:rowOff>
    </xdr:from>
    <xdr:to>
      <xdr:col>10</xdr:col>
      <xdr:colOff>1247775</xdr:colOff>
      <xdr:row>502</xdr:row>
      <xdr:rowOff>0</xdr:rowOff>
    </xdr:to>
    <xdr:graphicFrame macro="">
      <xdr:nvGraphicFramePr>
        <xdr:cNvPr id="50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8"/>
        </a:graphicData>
      </a:graphic>
    </xdr:graphicFrame>
    <xdr:clientData/>
  </xdr:twoCellAnchor>
  <xdr:twoCellAnchor>
    <xdr:from>
      <xdr:col>2</xdr:col>
      <xdr:colOff>914400</xdr:colOff>
      <xdr:row>502</xdr:row>
      <xdr:rowOff>0</xdr:rowOff>
    </xdr:from>
    <xdr:to>
      <xdr:col>10</xdr:col>
      <xdr:colOff>1247775</xdr:colOff>
      <xdr:row>502</xdr:row>
      <xdr:rowOff>0</xdr:rowOff>
    </xdr:to>
    <xdr:graphicFrame macro="">
      <xdr:nvGraphicFramePr>
        <xdr:cNvPr id="50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9"/>
        </a:graphicData>
      </a:graphic>
    </xdr:graphicFrame>
    <xdr:clientData/>
  </xdr:twoCellAnchor>
  <xdr:twoCellAnchor>
    <xdr:from>
      <xdr:col>2</xdr:col>
      <xdr:colOff>914400</xdr:colOff>
      <xdr:row>502</xdr:row>
      <xdr:rowOff>0</xdr:rowOff>
    </xdr:from>
    <xdr:to>
      <xdr:col>10</xdr:col>
      <xdr:colOff>1247775</xdr:colOff>
      <xdr:row>502</xdr:row>
      <xdr:rowOff>0</xdr:rowOff>
    </xdr:to>
    <xdr:graphicFrame macro="">
      <xdr:nvGraphicFramePr>
        <xdr:cNvPr id="50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0"/>
        </a:graphicData>
      </a:graphic>
    </xdr:graphicFrame>
    <xdr:clientData/>
  </xdr:twoCellAnchor>
  <xdr:twoCellAnchor>
    <xdr:from>
      <xdr:col>2</xdr:col>
      <xdr:colOff>914400</xdr:colOff>
      <xdr:row>502</xdr:row>
      <xdr:rowOff>0</xdr:rowOff>
    </xdr:from>
    <xdr:to>
      <xdr:col>10</xdr:col>
      <xdr:colOff>1247775</xdr:colOff>
      <xdr:row>502</xdr:row>
      <xdr:rowOff>0</xdr:rowOff>
    </xdr:to>
    <xdr:graphicFrame macro="">
      <xdr:nvGraphicFramePr>
        <xdr:cNvPr id="50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1"/>
        </a:graphicData>
      </a:graphic>
    </xdr:graphicFrame>
    <xdr:clientData/>
  </xdr:twoCellAnchor>
  <xdr:twoCellAnchor>
    <xdr:from>
      <xdr:col>2</xdr:col>
      <xdr:colOff>914400</xdr:colOff>
      <xdr:row>502</xdr:row>
      <xdr:rowOff>0</xdr:rowOff>
    </xdr:from>
    <xdr:to>
      <xdr:col>10</xdr:col>
      <xdr:colOff>1247775</xdr:colOff>
      <xdr:row>502</xdr:row>
      <xdr:rowOff>0</xdr:rowOff>
    </xdr:to>
    <xdr:graphicFrame macro="">
      <xdr:nvGraphicFramePr>
        <xdr:cNvPr id="50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2"/>
        </a:graphicData>
      </a:graphic>
    </xdr:graphicFrame>
    <xdr:clientData/>
  </xdr:twoCellAnchor>
  <xdr:twoCellAnchor>
    <xdr:from>
      <xdr:col>2</xdr:col>
      <xdr:colOff>914400</xdr:colOff>
      <xdr:row>502</xdr:row>
      <xdr:rowOff>0</xdr:rowOff>
    </xdr:from>
    <xdr:to>
      <xdr:col>10</xdr:col>
      <xdr:colOff>1247775</xdr:colOff>
      <xdr:row>502</xdr:row>
      <xdr:rowOff>0</xdr:rowOff>
    </xdr:to>
    <xdr:graphicFrame macro="">
      <xdr:nvGraphicFramePr>
        <xdr:cNvPr id="50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3"/>
        </a:graphicData>
      </a:graphic>
    </xdr:graphicFrame>
    <xdr:clientData/>
  </xdr:twoCellAnchor>
  <xdr:twoCellAnchor>
    <xdr:from>
      <xdr:col>2</xdr:col>
      <xdr:colOff>914400</xdr:colOff>
      <xdr:row>502</xdr:row>
      <xdr:rowOff>0</xdr:rowOff>
    </xdr:from>
    <xdr:to>
      <xdr:col>10</xdr:col>
      <xdr:colOff>1247775</xdr:colOff>
      <xdr:row>502</xdr:row>
      <xdr:rowOff>0</xdr:rowOff>
    </xdr:to>
    <xdr:graphicFrame macro="">
      <xdr:nvGraphicFramePr>
        <xdr:cNvPr id="50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4"/>
        </a:graphicData>
      </a:graphic>
    </xdr:graphicFrame>
    <xdr:clientData/>
  </xdr:twoCellAnchor>
  <xdr:twoCellAnchor>
    <xdr:from>
      <xdr:col>2</xdr:col>
      <xdr:colOff>914400</xdr:colOff>
      <xdr:row>502</xdr:row>
      <xdr:rowOff>0</xdr:rowOff>
    </xdr:from>
    <xdr:to>
      <xdr:col>10</xdr:col>
      <xdr:colOff>1247775</xdr:colOff>
      <xdr:row>502</xdr:row>
      <xdr:rowOff>0</xdr:rowOff>
    </xdr:to>
    <xdr:graphicFrame macro="">
      <xdr:nvGraphicFramePr>
        <xdr:cNvPr id="50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5"/>
        </a:graphicData>
      </a:graphic>
    </xdr:graphicFrame>
    <xdr:clientData/>
  </xdr:twoCellAnchor>
  <xdr:twoCellAnchor>
    <xdr:from>
      <xdr:col>2</xdr:col>
      <xdr:colOff>914400</xdr:colOff>
      <xdr:row>502</xdr:row>
      <xdr:rowOff>0</xdr:rowOff>
    </xdr:from>
    <xdr:to>
      <xdr:col>10</xdr:col>
      <xdr:colOff>1247775</xdr:colOff>
      <xdr:row>502</xdr:row>
      <xdr:rowOff>0</xdr:rowOff>
    </xdr:to>
    <xdr:graphicFrame macro="">
      <xdr:nvGraphicFramePr>
        <xdr:cNvPr id="50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6"/>
        </a:graphicData>
      </a:graphic>
    </xdr:graphicFrame>
    <xdr:clientData/>
  </xdr:twoCellAnchor>
  <xdr:twoCellAnchor>
    <xdr:from>
      <xdr:col>2</xdr:col>
      <xdr:colOff>914400</xdr:colOff>
      <xdr:row>502</xdr:row>
      <xdr:rowOff>0</xdr:rowOff>
    </xdr:from>
    <xdr:to>
      <xdr:col>10</xdr:col>
      <xdr:colOff>1247775</xdr:colOff>
      <xdr:row>502</xdr:row>
      <xdr:rowOff>0</xdr:rowOff>
    </xdr:to>
    <xdr:graphicFrame macro="">
      <xdr:nvGraphicFramePr>
        <xdr:cNvPr id="50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7"/>
        </a:graphicData>
      </a:graphic>
    </xdr:graphicFrame>
    <xdr:clientData/>
  </xdr:twoCellAnchor>
  <xdr:twoCellAnchor>
    <xdr:from>
      <xdr:col>2</xdr:col>
      <xdr:colOff>914400</xdr:colOff>
      <xdr:row>502</xdr:row>
      <xdr:rowOff>0</xdr:rowOff>
    </xdr:from>
    <xdr:to>
      <xdr:col>10</xdr:col>
      <xdr:colOff>1247775</xdr:colOff>
      <xdr:row>502</xdr:row>
      <xdr:rowOff>0</xdr:rowOff>
    </xdr:to>
    <xdr:graphicFrame macro="">
      <xdr:nvGraphicFramePr>
        <xdr:cNvPr id="51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8"/>
        </a:graphicData>
      </a:graphic>
    </xdr:graphicFrame>
    <xdr:clientData/>
  </xdr:twoCellAnchor>
  <xdr:twoCellAnchor>
    <xdr:from>
      <xdr:col>2</xdr:col>
      <xdr:colOff>914400</xdr:colOff>
      <xdr:row>502</xdr:row>
      <xdr:rowOff>0</xdr:rowOff>
    </xdr:from>
    <xdr:to>
      <xdr:col>10</xdr:col>
      <xdr:colOff>1247775</xdr:colOff>
      <xdr:row>502</xdr:row>
      <xdr:rowOff>0</xdr:rowOff>
    </xdr:to>
    <xdr:graphicFrame macro="">
      <xdr:nvGraphicFramePr>
        <xdr:cNvPr id="51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9"/>
        </a:graphicData>
      </a:graphic>
    </xdr:graphicFrame>
    <xdr:clientData/>
  </xdr:twoCellAnchor>
  <xdr:twoCellAnchor>
    <xdr:from>
      <xdr:col>2</xdr:col>
      <xdr:colOff>914400</xdr:colOff>
      <xdr:row>509</xdr:row>
      <xdr:rowOff>190500</xdr:rowOff>
    </xdr:from>
    <xdr:to>
      <xdr:col>10</xdr:col>
      <xdr:colOff>1247775</xdr:colOff>
      <xdr:row>522</xdr:row>
      <xdr:rowOff>0</xdr:rowOff>
    </xdr:to>
    <xdr:graphicFrame macro="">
      <xdr:nvGraphicFramePr>
        <xdr:cNvPr id="51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0"/>
        </a:graphicData>
      </a:graphic>
    </xdr:graphicFrame>
    <xdr:clientData/>
  </xdr:twoCellAnchor>
  <xdr:twoCellAnchor>
    <xdr:from>
      <xdr:col>2</xdr:col>
      <xdr:colOff>1168400</xdr:colOff>
      <xdr:row>21</xdr:row>
      <xdr:rowOff>190500</xdr:rowOff>
    </xdr:from>
    <xdr:to>
      <xdr:col>11</xdr:col>
      <xdr:colOff>250825</xdr:colOff>
      <xdr:row>34</xdr:row>
      <xdr:rowOff>0</xdr:rowOff>
    </xdr:to>
    <xdr:graphicFrame macro="">
      <xdr:nvGraphicFramePr>
        <xdr:cNvPr id="1617628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ERVER2000\UsersDocuments\&#1052;&#1086;&#1080;%20&#1076;&#1086;&#1082;&#1091;&#1084;&#1077;&#1085;&#1090;&#1099;\&#1090;&#1072;&#1088;&#1080;&#1092;\&#1054;&#1090;&#1095;&#1077;&#1090;\2001\Nata\Tarif\Tarif.prg\TARIF98kop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ERVER2000\UsersDocuments\B-PL\NBPL\_F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ERVER2000\UsersDocuments\&#1052;&#1086;&#1080;%20&#1076;&#1086;&#1082;&#1091;&#1084;&#1077;&#1085;&#1090;&#1099;\&#1090;&#1072;&#1088;&#1080;&#1092;\&#1054;&#1090;&#1095;&#1077;&#1090;\2001\&#1052;&#1086;&#1080;%20&#1076;&#1086;&#1082;&#1091;&#1084;&#1077;&#1085;&#1090;&#1099;\&#1058;&#1072;&#1088;&#1080;&#1092;&#1099;\1%20&#1087;&#1086;&#1083;%202000\&#1058;&#1072;&#1088;&#1080;&#1092;&#1099;\Tarif%202%20pol%2099%20g\TARIF9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ERVER2000\UsersDocuments\&#1052;&#1086;&#1080;%20&#1076;&#1086;&#1082;&#1091;&#1084;&#1077;&#1085;&#1090;&#1099;\2002&#1075;&#1086;&#1076;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ERVER2000\UsersDocuments\Chaplugina\&#1048;&#1089;&#1087;&#1086;&#1083;&#1085;&#1080;&#1090;&#1077;&#1083;&#1100;&#1085;&#1072;&#1103;%20&#1076;&#1080;&#1088;&#1077;&#1082;&#1094;&#1080;&#1103;\&#1058;&#1043;&#1050;%2010\&#1063;&#1043;&#105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Vanshina_RA\Desktop\&#1042;&#1040;&#1053;&#1068;&#1064;&#1048;&#1053;&#1040;\&#1056;&#1058;&#1050;\&#1056;&#1058;&#1050;%20%20&#1101;&#1083;&#1077;&#1082;&#1090;&#1088;&#1080;&#1082;&#1072;\&#1058;&#1072;&#1088;&#1080;&#1092;&#1085;&#1086;&#1077;%20&#1076;&#1077;&#1083;&#1086;%20&#1101;&#1083;&#1077;&#1082;&#1090;&#1088;&#1080;&#1082;&#1072;%202016&#1075;\ENERGY.KTL.LT.CALC.NVV.NET2015%20&#1086;&#1090;%2029.04.15&#1075;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</sheetNames>
    <sheetDataSet>
      <sheetData sheetId="0"/>
      <sheetData sheetId="1" refreshError="1">
        <row r="685">
          <cell r="B685" t="str">
            <v>Потребитель 1</v>
          </cell>
        </row>
        <row r="1118">
          <cell r="B1118" t="str">
            <v>Тепловая энергия со стороны на производственные (общехозяйственные) нужды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48">
          <cell r="I48">
            <v>251.50112019011277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91">
          <cell r="I91">
            <v>0</v>
          </cell>
        </row>
        <row r="92">
          <cell r="I92">
            <v>119.46837341648958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T25"/>
      <sheetName val="T31"/>
      <sheetName val="T0"/>
      <sheetName val="справочник"/>
      <sheetName val="справочник (2)"/>
      <sheetName val=" справочник Тобольск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FES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. к  ф№1-4кв 1998г "/>
      <sheetName val="1кв2002г."/>
      <sheetName val="2кв2002г"/>
      <sheetName val="3кв2002г"/>
      <sheetName val="4кв2002г"/>
      <sheetName val="2002г."/>
      <sheetName val="ф 2"/>
      <sheetName val="1кв2000г"/>
      <sheetName val="2кв2000г"/>
      <sheetName val="3кв2000г"/>
      <sheetName val="4кв2000г"/>
      <sheetName val="2000 по ст"/>
      <sheetName val="2000г"/>
      <sheetName val="форма-прил к ф№1"/>
      <sheetName val="форма_прил к ф_1"/>
      <sheetName val="T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</sheetNames>
    <sheetDataSet>
      <sheetData sheetId="0" refreshError="1">
        <row r="14">
          <cell r="B14">
            <v>2007</v>
          </cell>
        </row>
        <row r="15">
          <cell r="B15">
            <v>2006</v>
          </cell>
        </row>
        <row r="16">
          <cell r="B16">
            <v>2005</v>
          </cell>
        </row>
      </sheetData>
      <sheetData sheetId="1"/>
      <sheetData sheetId="2" refreshError="1">
        <row r="21">
          <cell r="A21" t="str">
            <v>Уголь Челябинский</v>
          </cell>
        </row>
        <row r="22">
          <cell r="A22" t="str">
            <v>Уголь разреза-2</v>
          </cell>
        </row>
        <row r="28">
          <cell r="A28" t="str">
            <v>Торф</v>
          </cell>
        </row>
        <row r="29">
          <cell r="A29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TITLE"/>
      <sheetName val="CC"/>
      <sheetName val="CD"/>
      <sheetName val="CBYRAB"/>
      <sheetName val="NBYRAB"/>
      <sheetName val="P_1_16"/>
      <sheetName val="P_1_17"/>
      <sheetName val="P_1_17_1"/>
      <sheetName val="P_2_1"/>
      <sheetName val="P_2_2"/>
      <sheetName val="NBYL"/>
      <sheetName val="P_2_1_MOS"/>
      <sheetName val="P_2_2_MOS"/>
      <sheetName val="Титульный"/>
      <sheetName val="tech"/>
      <sheetName val="TECHSHEET"/>
      <sheetName val="Данные об организации"/>
      <sheetName val="Расчёт расходов"/>
      <sheetName val="modBasicRanges"/>
      <sheetName val="Расходы + Баланс"/>
      <sheetName val="Расшифровка расходов"/>
      <sheetName val="П1.16"/>
      <sheetName val="П1.17"/>
      <sheetName val="П1.17.1"/>
      <sheetName val="Р.2.1"/>
      <sheetName val="Р.2.2"/>
      <sheetName val="НВВ по уровням"/>
      <sheetName val="Комментарии"/>
      <sheetName val="Проверка"/>
      <sheetName val="modPass"/>
      <sheetName val="modProv"/>
      <sheetName val="REESTR_ORG"/>
      <sheetName val="REESTR"/>
      <sheetName val="modSheetTitle"/>
      <sheetName val="modfrmMethod"/>
      <sheetName val="modApplyMethods"/>
      <sheetName val="modSheetCostsDetails"/>
      <sheetName val="modCommonProv"/>
      <sheetName val="modProvGeneralProc"/>
      <sheetName val="modInfo"/>
      <sheetName val="modCommandButton"/>
      <sheetName val="modUpdTemplMain"/>
      <sheetName val="modAuthorizationUtilities"/>
      <sheetName val="modUpdateStatus"/>
      <sheetName val="AUTHORIZATION"/>
      <sheetName val="modCommonProcedures"/>
      <sheetName val="modfrmCheckUpdates"/>
      <sheetName val="modfrmUpdateIsInProgress"/>
      <sheetName val="modCostsfeatBalance"/>
      <sheetName val="modfrmCheckInIsInProgress"/>
      <sheetName val="modOrgData"/>
      <sheetName val="modfrmDateChoose"/>
      <sheetName val="modAdditionalOrgData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20">
          <cell r="BC120">
            <v>57896.598304705207</v>
          </cell>
        </row>
        <row r="121">
          <cell r="AW121">
            <v>53880.665974898351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34.bin"/><Relationship Id="rId7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Relationship Id="rId6" Type="http://schemas.openxmlformats.org/officeDocument/2006/relationships/printerSettings" Target="../printerSettings/printerSettings37.bin"/><Relationship Id="rId5" Type="http://schemas.openxmlformats.org/officeDocument/2006/relationships/printerSettings" Target="../printerSettings/printerSettings36.bin"/><Relationship Id="rId4" Type="http://schemas.openxmlformats.org/officeDocument/2006/relationships/printerSettings" Target="../printerSettings/printerSettings35.bin"/><Relationship Id="rId9" Type="http://schemas.openxmlformats.org/officeDocument/2006/relationships/printerSettings" Target="../printerSettings/printerSettings4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6.bin"/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9.bin"/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2.bin"/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2.bin"/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.bin"/><Relationship Id="rId3" Type="http://schemas.openxmlformats.org/officeDocument/2006/relationships/printerSettings" Target="../printerSettings/printerSettings6.bin"/><Relationship Id="rId7" Type="http://schemas.openxmlformats.org/officeDocument/2006/relationships/printerSettings" Target="../printerSettings/printerSettings10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6" Type="http://schemas.openxmlformats.org/officeDocument/2006/relationships/printerSettings" Target="../printerSettings/printerSettings9.bin"/><Relationship Id="rId5" Type="http://schemas.openxmlformats.org/officeDocument/2006/relationships/printerSettings" Target="../printerSettings/printerSettings8.bin"/><Relationship Id="rId4" Type="http://schemas.openxmlformats.org/officeDocument/2006/relationships/printerSettings" Target="../printerSettings/printerSettings7.bin"/><Relationship Id="rId9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4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outlinePr summaryBelow="0" summaryRight="0"/>
    <pageSetUpPr fitToPage="1"/>
  </sheetPr>
  <dimension ref="A1:AB71"/>
  <sheetViews>
    <sheetView view="pageBreakPreview" topLeftCell="A13" zoomScale="50" zoomScaleNormal="60" zoomScaleSheetLayoutView="50" zoomScalePageLayoutView="46" workbookViewId="0">
      <selection activeCell="I24" sqref="I24"/>
    </sheetView>
  </sheetViews>
  <sheetFormatPr defaultRowHeight="20.25" outlineLevelRow="1" outlineLevelCol="1"/>
  <cols>
    <col min="1" max="1" width="10.625" style="136" customWidth="1"/>
    <col min="2" max="2" width="40.75" style="136" customWidth="1"/>
    <col min="3" max="3" width="13.75" style="136" customWidth="1"/>
    <col min="4" max="4" width="12.75" style="186" customWidth="1"/>
    <col min="5" max="5" width="12.375" style="186" customWidth="1"/>
    <col min="6" max="6" width="12.375" style="368" customWidth="1"/>
    <col min="7" max="7" width="15.625" style="368" customWidth="1"/>
    <col min="8" max="9" width="16.625" style="144" customWidth="1"/>
    <col min="10" max="10" width="22.625" style="144" customWidth="1" collapsed="1"/>
    <col min="11" max="18" width="11.5" style="144" hidden="1" customWidth="1" outlineLevel="1"/>
    <col min="19" max="20" width="11.375" style="144" hidden="1" customWidth="1" outlineLevel="1"/>
    <col min="21" max="21" width="12.625" style="144" hidden="1" customWidth="1" outlineLevel="1"/>
    <col min="22" max="22" width="13" style="144" hidden="1" customWidth="1" outlineLevel="1"/>
    <col min="23" max="26" width="18.625" style="144" customWidth="1"/>
    <col min="27" max="27" width="17.625" style="144" customWidth="1"/>
    <col min="28" max="28" width="20.75" style="144" customWidth="1"/>
    <col min="29" max="30" width="9" style="136"/>
    <col min="31" max="31" width="10.75" style="136" bestFit="1" customWidth="1"/>
    <col min="32" max="16384" width="9" style="136"/>
  </cols>
  <sheetData>
    <row r="1" spans="1:28">
      <c r="A1" s="133"/>
      <c r="B1" s="133"/>
      <c r="C1" s="133"/>
      <c r="D1" s="146"/>
      <c r="E1" s="146"/>
      <c r="F1" s="366"/>
      <c r="G1" s="366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B1" s="134" t="s">
        <v>238</v>
      </c>
    </row>
    <row r="2" spans="1:28">
      <c r="A2" s="133"/>
      <c r="B2" s="409"/>
      <c r="C2" s="133"/>
      <c r="D2" s="403"/>
      <c r="E2" s="403"/>
      <c r="F2" s="391"/>
      <c r="G2" s="391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4"/>
      <c r="W2" s="134"/>
      <c r="X2" s="134"/>
      <c r="Y2" s="134"/>
      <c r="Z2" s="134"/>
      <c r="AB2" s="134" t="s">
        <v>433</v>
      </c>
    </row>
    <row r="3" spans="1:28">
      <c r="A3" s="133"/>
      <c r="B3" s="133"/>
      <c r="C3" s="133"/>
      <c r="D3" s="292"/>
      <c r="E3" s="403"/>
      <c r="F3" s="391"/>
      <c r="G3" s="391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4"/>
      <c r="W3" s="134"/>
      <c r="X3" s="134"/>
      <c r="Y3" s="134"/>
      <c r="Z3" s="134"/>
      <c r="AB3" s="134" t="s">
        <v>400</v>
      </c>
    </row>
    <row r="4" spans="1:28">
      <c r="A4" s="133"/>
      <c r="B4" s="410"/>
      <c r="C4" s="147"/>
      <c r="D4" s="146"/>
      <c r="E4" s="146"/>
      <c r="F4" s="366"/>
      <c r="G4" s="366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B4" s="134"/>
    </row>
    <row r="5" spans="1:28">
      <c r="A5" s="133"/>
      <c r="B5" s="411"/>
      <c r="C5" s="137"/>
      <c r="D5" s="146"/>
      <c r="E5" s="146"/>
      <c r="F5" s="366"/>
      <c r="G5" s="391"/>
      <c r="H5" s="135"/>
      <c r="I5" s="135"/>
      <c r="J5" s="293"/>
      <c r="K5" s="293"/>
      <c r="L5" s="293"/>
      <c r="M5" s="293"/>
      <c r="N5" s="293"/>
      <c r="O5" s="293"/>
      <c r="P5" s="293"/>
      <c r="Q5" s="293"/>
      <c r="R5" s="293"/>
      <c r="S5" s="293"/>
      <c r="T5" s="293"/>
      <c r="U5" s="293"/>
      <c r="W5" s="836"/>
      <c r="X5" s="454"/>
      <c r="Y5" s="454"/>
      <c r="Z5" s="454"/>
      <c r="AB5" s="449" t="s">
        <v>296</v>
      </c>
    </row>
    <row r="6" spans="1:28" s="140" customFormat="1" ht="20.25" customHeight="1">
      <c r="A6" s="139"/>
      <c r="B6" s="674"/>
      <c r="C6" s="674"/>
      <c r="D6" s="188"/>
      <c r="E6" s="188"/>
      <c r="F6" s="367"/>
      <c r="G6" s="839"/>
      <c r="H6" s="840"/>
      <c r="I6" s="840"/>
      <c r="J6" s="840"/>
      <c r="K6" s="397"/>
      <c r="L6" s="397"/>
      <c r="M6" s="490"/>
      <c r="N6" s="490"/>
      <c r="O6" s="490"/>
      <c r="P6" s="490"/>
      <c r="Q6" s="451"/>
      <c r="R6" s="451"/>
      <c r="S6" s="397"/>
      <c r="T6" s="397"/>
      <c r="U6" s="397"/>
      <c r="W6" s="455"/>
      <c r="X6" s="455"/>
      <c r="Y6" s="455"/>
      <c r="Z6" s="455"/>
      <c r="AB6" s="456" t="s">
        <v>615</v>
      </c>
    </row>
    <row r="7" spans="1:28" s="143" customFormat="1">
      <c r="A7" s="141"/>
      <c r="B7" s="412"/>
      <c r="C7" s="138"/>
      <c r="D7" s="146"/>
      <c r="E7" s="146"/>
      <c r="F7" s="366"/>
      <c r="G7" s="398"/>
      <c r="H7" s="142"/>
      <c r="I7" s="142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290"/>
      <c r="W7" s="290"/>
      <c r="X7" s="290"/>
      <c r="Y7" s="290"/>
      <c r="Z7" s="290"/>
      <c r="AB7" s="449" t="s">
        <v>614</v>
      </c>
    </row>
    <row r="8" spans="1:28">
      <c r="A8" s="133"/>
      <c r="B8" s="142"/>
      <c r="C8" s="138"/>
      <c r="D8" s="146"/>
      <c r="E8" s="146"/>
      <c r="F8" s="366"/>
      <c r="G8" s="391"/>
      <c r="H8" s="135"/>
      <c r="I8" s="395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4"/>
      <c r="W8" s="134"/>
      <c r="X8" s="134"/>
      <c r="Y8" s="134"/>
      <c r="Z8" s="134"/>
      <c r="AB8" s="449" t="s">
        <v>656</v>
      </c>
    </row>
    <row r="9" spans="1:28">
      <c r="A9" s="133"/>
      <c r="B9" s="142"/>
      <c r="C9" s="138"/>
      <c r="D9" s="146"/>
      <c r="E9" s="146"/>
      <c r="F9" s="366"/>
      <c r="G9" s="391"/>
      <c r="H9" s="135"/>
      <c r="I9" s="135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4"/>
      <c r="W9" s="134"/>
      <c r="X9" s="134"/>
      <c r="Y9" s="134"/>
      <c r="Z9" s="134"/>
      <c r="AB9" s="449" t="s">
        <v>173</v>
      </c>
    </row>
    <row r="10" spans="1:28">
      <c r="A10" s="133"/>
      <c r="B10" s="133"/>
      <c r="C10" s="133"/>
      <c r="D10" s="146"/>
      <c r="E10" s="146"/>
      <c r="F10" s="366"/>
      <c r="G10" s="391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</row>
    <row r="11" spans="1:28" ht="30" customHeight="1">
      <c r="A11" s="846" t="s">
        <v>360</v>
      </c>
      <c r="B11" s="846"/>
      <c r="C11" s="846"/>
      <c r="D11" s="846"/>
      <c r="E11" s="846"/>
      <c r="F11" s="846"/>
      <c r="G11" s="846"/>
      <c r="H11" s="846"/>
      <c r="I11" s="846"/>
      <c r="J11" s="846"/>
      <c r="K11" s="846"/>
      <c r="L11" s="846"/>
      <c r="M11" s="846"/>
      <c r="N11" s="846"/>
      <c r="O11" s="846"/>
      <c r="P11" s="846"/>
      <c r="Q11" s="846"/>
      <c r="R11" s="846"/>
      <c r="S11" s="846"/>
      <c r="T11" s="846"/>
      <c r="U11" s="846"/>
      <c r="V11" s="846"/>
      <c r="W11" s="846"/>
      <c r="X11" s="846"/>
      <c r="Y11" s="846"/>
      <c r="Z11" s="846"/>
      <c r="AA11" s="846"/>
      <c r="AB11" s="846"/>
    </row>
    <row r="12" spans="1:28" ht="26.25" customHeight="1">
      <c r="A12" s="846" t="s">
        <v>616</v>
      </c>
      <c r="B12" s="846"/>
      <c r="C12" s="846"/>
      <c r="D12" s="846"/>
      <c r="E12" s="846"/>
      <c r="F12" s="846"/>
      <c r="G12" s="846"/>
      <c r="H12" s="846"/>
      <c r="I12" s="846"/>
      <c r="J12" s="846"/>
      <c r="K12" s="846"/>
      <c r="L12" s="846"/>
      <c r="M12" s="846"/>
      <c r="N12" s="846"/>
      <c r="O12" s="846"/>
      <c r="P12" s="846"/>
      <c r="Q12" s="846"/>
      <c r="R12" s="846"/>
      <c r="S12" s="846"/>
      <c r="T12" s="846"/>
      <c r="U12" s="846"/>
      <c r="V12" s="846"/>
      <c r="W12" s="846"/>
      <c r="X12" s="846"/>
      <c r="Y12" s="846"/>
      <c r="Z12" s="846"/>
      <c r="AA12" s="846"/>
      <c r="AB12" s="846"/>
    </row>
    <row r="13" spans="1:28">
      <c r="A13" s="391"/>
      <c r="B13" s="391"/>
      <c r="C13" s="391"/>
      <c r="D13" s="391"/>
      <c r="E13" s="391"/>
      <c r="F13" s="391"/>
      <c r="G13" s="391"/>
      <c r="H13" s="391"/>
      <c r="I13" s="391"/>
      <c r="J13" s="391"/>
      <c r="K13" s="396"/>
      <c r="L13" s="396"/>
      <c r="M13" s="396"/>
      <c r="N13" s="396"/>
      <c r="O13" s="396"/>
      <c r="P13" s="396"/>
      <c r="Q13" s="396"/>
      <c r="R13" s="396"/>
      <c r="S13" s="396"/>
      <c r="T13" s="396"/>
      <c r="U13" s="396"/>
      <c r="V13" s="396"/>
      <c r="W13" s="816"/>
      <c r="X13" s="816"/>
      <c r="Y13" s="816"/>
      <c r="Z13" s="816"/>
      <c r="AA13" s="816"/>
      <c r="AB13" s="816"/>
    </row>
    <row r="14" spans="1:28">
      <c r="W14" s="349"/>
      <c r="X14" s="349"/>
      <c r="Y14" s="349"/>
      <c r="Z14" s="349"/>
      <c r="AA14" s="816"/>
      <c r="AB14" s="349"/>
    </row>
    <row r="15" spans="1:28" ht="20.25" customHeight="1">
      <c r="A15" s="841" t="s">
        <v>266</v>
      </c>
      <c r="B15" s="841" t="s">
        <v>438</v>
      </c>
      <c r="C15" s="841" t="s">
        <v>119</v>
      </c>
      <c r="D15" s="841" t="s">
        <v>122</v>
      </c>
      <c r="E15" s="841"/>
      <c r="F15" s="841" t="s">
        <v>403</v>
      </c>
      <c r="G15" s="841" t="s">
        <v>404</v>
      </c>
      <c r="H15" s="845" t="s">
        <v>405</v>
      </c>
      <c r="I15" s="845" t="s">
        <v>481</v>
      </c>
      <c r="J15" s="845" t="s">
        <v>657</v>
      </c>
      <c r="K15" s="842" t="s">
        <v>81</v>
      </c>
      <c r="L15" s="844"/>
      <c r="M15" s="844"/>
      <c r="N15" s="844"/>
      <c r="O15" s="844"/>
      <c r="P15" s="844"/>
      <c r="Q15" s="844"/>
      <c r="R15" s="844"/>
      <c r="S15" s="844"/>
      <c r="T15" s="844"/>
      <c r="U15" s="844"/>
      <c r="V15" s="843"/>
      <c r="W15" s="847" t="s">
        <v>654</v>
      </c>
      <c r="X15" s="848"/>
      <c r="Y15" s="848"/>
      <c r="Z15" s="848"/>
      <c r="AA15" s="848"/>
      <c r="AB15" s="849"/>
    </row>
    <row r="16" spans="1:28" ht="80.25" customHeight="1">
      <c r="A16" s="841"/>
      <c r="B16" s="841"/>
      <c r="C16" s="841"/>
      <c r="D16" s="841"/>
      <c r="E16" s="841"/>
      <c r="F16" s="841"/>
      <c r="G16" s="841"/>
      <c r="H16" s="845"/>
      <c r="I16" s="845"/>
      <c r="J16" s="845"/>
      <c r="K16" s="842" t="s">
        <v>145</v>
      </c>
      <c r="L16" s="843"/>
      <c r="M16" s="842" t="s">
        <v>146</v>
      </c>
      <c r="N16" s="843"/>
      <c r="O16" s="842" t="s">
        <v>534</v>
      </c>
      <c r="P16" s="843"/>
      <c r="Q16" s="842" t="s">
        <v>562</v>
      </c>
      <c r="R16" s="843"/>
      <c r="S16" s="842" t="s">
        <v>563</v>
      </c>
      <c r="T16" s="843"/>
      <c r="U16" s="842" t="s">
        <v>82</v>
      </c>
      <c r="V16" s="843"/>
      <c r="W16" s="390" t="s">
        <v>145</v>
      </c>
      <c r="X16" s="491" t="s">
        <v>146</v>
      </c>
      <c r="Y16" s="491" t="s">
        <v>534</v>
      </c>
      <c r="Z16" s="448" t="s">
        <v>562</v>
      </c>
      <c r="AA16" s="390" t="s">
        <v>563</v>
      </c>
      <c r="AB16" s="393" t="s">
        <v>82</v>
      </c>
    </row>
    <row r="17" spans="1:28">
      <c r="A17" s="841"/>
      <c r="B17" s="841"/>
      <c r="C17" s="199" t="s">
        <v>120</v>
      </c>
      <c r="D17" s="199" t="s">
        <v>2</v>
      </c>
      <c r="E17" s="199" t="s">
        <v>413</v>
      </c>
      <c r="F17" s="841"/>
      <c r="G17" s="841"/>
      <c r="H17" s="408" t="s">
        <v>610</v>
      </c>
      <c r="I17" s="408" t="s">
        <v>610</v>
      </c>
      <c r="J17" s="408" t="s">
        <v>610</v>
      </c>
      <c r="K17" s="199" t="s">
        <v>2</v>
      </c>
      <c r="L17" s="199" t="s">
        <v>413</v>
      </c>
      <c r="M17" s="199" t="s">
        <v>2</v>
      </c>
      <c r="N17" s="199" t="s">
        <v>413</v>
      </c>
      <c r="O17" s="199" t="s">
        <v>2</v>
      </c>
      <c r="P17" s="199" t="s">
        <v>413</v>
      </c>
      <c r="Q17" s="199" t="s">
        <v>2</v>
      </c>
      <c r="R17" s="199" t="s">
        <v>413</v>
      </c>
      <c r="S17" s="199" t="s">
        <v>2</v>
      </c>
      <c r="T17" s="199" t="s">
        <v>413</v>
      </c>
      <c r="U17" s="199" t="s">
        <v>2</v>
      </c>
      <c r="V17" s="199" t="s">
        <v>413</v>
      </c>
      <c r="W17" s="408" t="s">
        <v>610</v>
      </c>
      <c r="X17" s="408" t="s">
        <v>610</v>
      </c>
      <c r="Y17" s="408" t="s">
        <v>610</v>
      </c>
      <c r="Z17" s="408" t="s">
        <v>610</v>
      </c>
      <c r="AA17" s="408" t="s">
        <v>610</v>
      </c>
      <c r="AB17" s="408" t="s">
        <v>610</v>
      </c>
    </row>
    <row r="18" spans="1:28" s="145" customFormat="1">
      <c r="A18" s="392">
        <v>1</v>
      </c>
      <c r="B18" s="392">
        <v>2</v>
      </c>
      <c r="C18" s="392">
        <v>3</v>
      </c>
      <c r="D18" s="852">
        <v>4</v>
      </c>
      <c r="E18" s="852"/>
      <c r="F18" s="392">
        <v>5</v>
      </c>
      <c r="G18" s="392">
        <v>6</v>
      </c>
      <c r="H18" s="392">
        <v>7</v>
      </c>
      <c r="I18" s="392">
        <v>8</v>
      </c>
      <c r="J18" s="392">
        <v>9</v>
      </c>
      <c r="K18" s="850" t="s">
        <v>487</v>
      </c>
      <c r="L18" s="851"/>
      <c r="M18" s="852" t="s">
        <v>488</v>
      </c>
      <c r="N18" s="852"/>
      <c r="O18" s="852" t="s">
        <v>489</v>
      </c>
      <c r="P18" s="852"/>
      <c r="Q18" s="850" t="s">
        <v>490</v>
      </c>
      <c r="R18" s="851"/>
      <c r="S18" s="850" t="s">
        <v>491</v>
      </c>
      <c r="T18" s="851"/>
      <c r="U18" s="850" t="s">
        <v>492</v>
      </c>
      <c r="V18" s="851"/>
      <c r="W18" s="392" t="s">
        <v>493</v>
      </c>
      <c r="X18" s="492" t="s">
        <v>535</v>
      </c>
      <c r="Y18" s="492" t="s">
        <v>579</v>
      </c>
      <c r="Z18" s="452" t="s">
        <v>580</v>
      </c>
      <c r="AA18" s="392" t="s">
        <v>581</v>
      </c>
      <c r="AB18" s="392" t="s">
        <v>582</v>
      </c>
    </row>
    <row r="19" spans="1:28" s="146" customFormat="1" ht="26.25" customHeight="1">
      <c r="A19" s="390"/>
      <c r="B19" s="390" t="s">
        <v>439</v>
      </c>
      <c r="C19" s="479"/>
      <c r="D19" s="480">
        <f>D20+D36</f>
        <v>13.353999999999999</v>
      </c>
      <c r="E19" s="480">
        <f>E20+E36</f>
        <v>40</v>
      </c>
      <c r="F19" s="198"/>
      <c r="G19" s="480"/>
      <c r="H19" s="513">
        <f t="shared" ref="H19:T19" si="0">H20+H36</f>
        <v>174.094431265</v>
      </c>
      <c r="I19" s="513">
        <f t="shared" si="0"/>
        <v>162.72834926499999</v>
      </c>
      <c r="J19" s="513">
        <f t="shared" si="0"/>
        <v>44.750319999999995</v>
      </c>
      <c r="K19" s="513">
        <f t="shared" si="0"/>
        <v>0</v>
      </c>
      <c r="L19" s="513">
        <f t="shared" si="0"/>
        <v>0</v>
      </c>
      <c r="M19" s="513">
        <f t="shared" si="0"/>
        <v>0</v>
      </c>
      <c r="N19" s="513">
        <f t="shared" si="0"/>
        <v>20</v>
      </c>
      <c r="O19" s="513">
        <f t="shared" si="0"/>
        <v>0</v>
      </c>
      <c r="P19" s="513">
        <f t="shared" si="0"/>
        <v>10</v>
      </c>
      <c r="Q19" s="513">
        <f t="shared" si="0"/>
        <v>13.353999999999999</v>
      </c>
      <c r="R19" s="513">
        <f t="shared" si="0"/>
        <v>10</v>
      </c>
      <c r="S19" s="513">
        <f t="shared" si="0"/>
        <v>0</v>
      </c>
      <c r="T19" s="513">
        <f t="shared" si="0"/>
        <v>0</v>
      </c>
      <c r="U19" s="513">
        <f>K19+M19+O19+Q19+S19</f>
        <v>13.353999999999999</v>
      </c>
      <c r="V19" s="513">
        <f>L19+N19+P19+R19+T19</f>
        <v>40</v>
      </c>
      <c r="W19" s="513">
        <f t="shared" ref="W19:AB19" si="1">W20+W36</f>
        <v>11.366082</v>
      </c>
      <c r="X19" s="513">
        <f t="shared" si="1"/>
        <v>44.750319999999995</v>
      </c>
      <c r="Y19" s="513">
        <f t="shared" si="1"/>
        <v>57.067484629999996</v>
      </c>
      <c r="Z19" s="513">
        <f t="shared" si="1"/>
        <v>57.901544635</v>
      </c>
      <c r="AA19" s="513">
        <f t="shared" si="1"/>
        <v>3.0090000000000003</v>
      </c>
      <c r="AB19" s="513">
        <f t="shared" si="1"/>
        <v>174.094431265</v>
      </c>
    </row>
    <row r="20" spans="1:28" s="133" customFormat="1" ht="40.5">
      <c r="A20" s="390">
        <v>1</v>
      </c>
      <c r="B20" s="155" t="s">
        <v>163</v>
      </c>
      <c r="C20" s="479"/>
      <c r="D20" s="480">
        <f>D27+D31+D35</f>
        <v>13.353999999999999</v>
      </c>
      <c r="E20" s="480">
        <f>E27+E31+E35</f>
        <v>40</v>
      </c>
      <c r="F20" s="480"/>
      <c r="G20" s="480"/>
      <c r="H20" s="513">
        <f t="shared" ref="H20:T20" si="2">SUM(H27,H31,H35)</f>
        <v>174.094431265</v>
      </c>
      <c r="I20" s="513">
        <f t="shared" si="2"/>
        <v>162.72834926499999</v>
      </c>
      <c r="J20" s="513">
        <f t="shared" si="2"/>
        <v>44.750319999999995</v>
      </c>
      <c r="K20" s="513">
        <f t="shared" si="2"/>
        <v>0</v>
      </c>
      <c r="L20" s="513">
        <f t="shared" si="2"/>
        <v>0</v>
      </c>
      <c r="M20" s="513">
        <f t="shared" si="2"/>
        <v>0</v>
      </c>
      <c r="N20" s="513">
        <f t="shared" si="2"/>
        <v>20</v>
      </c>
      <c r="O20" s="513">
        <f t="shared" si="2"/>
        <v>0</v>
      </c>
      <c r="P20" s="513">
        <f t="shared" si="2"/>
        <v>10</v>
      </c>
      <c r="Q20" s="513">
        <f t="shared" si="2"/>
        <v>13.353999999999999</v>
      </c>
      <c r="R20" s="513">
        <f t="shared" si="2"/>
        <v>10</v>
      </c>
      <c r="S20" s="513">
        <f t="shared" si="2"/>
        <v>0</v>
      </c>
      <c r="T20" s="513">
        <f t="shared" si="2"/>
        <v>0</v>
      </c>
      <c r="U20" s="513">
        <f>K20+M20+O20+Q20+S20</f>
        <v>13.353999999999999</v>
      </c>
      <c r="V20" s="513">
        <f>L20+N20+P20+R20+T20</f>
        <v>40</v>
      </c>
      <c r="W20" s="513">
        <f t="shared" ref="W20:AB20" si="3">SUM(W27,W31,W35)</f>
        <v>11.366082</v>
      </c>
      <c r="X20" s="513">
        <f t="shared" si="3"/>
        <v>44.750319999999995</v>
      </c>
      <c r="Y20" s="513">
        <f t="shared" si="3"/>
        <v>57.067484629999996</v>
      </c>
      <c r="Z20" s="513">
        <f t="shared" si="3"/>
        <v>57.901544635</v>
      </c>
      <c r="AA20" s="513">
        <f t="shared" si="3"/>
        <v>3.0090000000000003</v>
      </c>
      <c r="AB20" s="513">
        <f t="shared" si="3"/>
        <v>174.094431265</v>
      </c>
    </row>
    <row r="21" spans="1:28" ht="57" customHeight="1">
      <c r="A21" s="156" t="s">
        <v>253</v>
      </c>
      <c r="B21" s="155" t="s">
        <v>160</v>
      </c>
      <c r="C21" s="479"/>
      <c r="D21" s="480"/>
      <c r="E21" s="480"/>
      <c r="F21" s="480"/>
      <c r="G21" s="480"/>
      <c r="H21" s="512"/>
      <c r="I21" s="513"/>
      <c r="J21" s="513"/>
      <c r="K21" s="513"/>
      <c r="L21" s="513"/>
      <c r="M21" s="513"/>
      <c r="N21" s="513"/>
      <c r="O21" s="513"/>
      <c r="P21" s="513"/>
      <c r="Q21" s="513"/>
      <c r="R21" s="513"/>
      <c r="S21" s="513"/>
      <c r="T21" s="513"/>
      <c r="U21" s="513"/>
      <c r="V21" s="513"/>
      <c r="W21" s="634"/>
      <c r="X21" s="634"/>
      <c r="Y21" s="634"/>
      <c r="Z21" s="634"/>
      <c r="AA21" s="634"/>
      <c r="AB21" s="634"/>
    </row>
    <row r="22" spans="1:28" ht="30" customHeight="1">
      <c r="A22" s="156" t="s">
        <v>277</v>
      </c>
      <c r="B22" s="155" t="s">
        <v>593</v>
      </c>
      <c r="C22" s="479"/>
      <c r="D22" s="480"/>
      <c r="E22" s="480"/>
      <c r="F22" s="480"/>
      <c r="G22" s="480"/>
      <c r="H22" s="512"/>
      <c r="I22" s="513"/>
      <c r="J22" s="513"/>
      <c r="K22" s="513"/>
      <c r="L22" s="513"/>
      <c r="M22" s="513"/>
      <c r="N22" s="513"/>
      <c r="O22" s="513"/>
      <c r="P22" s="513"/>
      <c r="Q22" s="513"/>
      <c r="R22" s="513"/>
      <c r="S22" s="513"/>
      <c r="T22" s="513"/>
      <c r="U22" s="513"/>
      <c r="V22" s="513"/>
      <c r="W22" s="634"/>
      <c r="X22" s="634"/>
      <c r="Y22" s="634"/>
      <c r="Z22" s="634"/>
      <c r="AA22" s="634"/>
      <c r="AB22" s="634"/>
    </row>
    <row r="23" spans="1:28" ht="101.25">
      <c r="A23" s="358" t="s">
        <v>484</v>
      </c>
      <c r="B23" s="158" t="s">
        <v>530</v>
      </c>
      <c r="C23" s="199" t="s">
        <v>390</v>
      </c>
      <c r="D23" s="408"/>
      <c r="E23" s="408">
        <v>20</v>
      </c>
      <c r="F23" s="516">
        <v>2016</v>
      </c>
      <c r="G23" s="516">
        <v>2018</v>
      </c>
      <c r="H23" s="512">
        <f>AB23</f>
        <v>82.6</v>
      </c>
      <c r="I23" s="512">
        <f>H23-W23</f>
        <v>71.233917999999989</v>
      </c>
      <c r="J23" s="512">
        <f>X23</f>
        <v>44.750319999999995</v>
      </c>
      <c r="K23" s="512">
        <v>0</v>
      </c>
      <c r="L23" s="512">
        <v>0</v>
      </c>
      <c r="M23" s="512">
        <v>0</v>
      </c>
      <c r="N23" s="512">
        <v>20</v>
      </c>
      <c r="O23" s="512">
        <v>0</v>
      </c>
      <c r="P23" s="512">
        <v>0</v>
      </c>
      <c r="Q23" s="512">
        <v>0</v>
      </c>
      <c r="R23" s="512">
        <v>0</v>
      </c>
      <c r="S23" s="512">
        <v>0</v>
      </c>
      <c r="T23" s="512">
        <v>0</v>
      </c>
      <c r="U23" s="513">
        <f>K23++M23+O23+Q23+S23</f>
        <v>0</v>
      </c>
      <c r="V23" s="513">
        <f>L23+N23+P23+R23+T23</f>
        <v>20</v>
      </c>
      <c r="W23" s="634">
        <f>6.894+4.472082</f>
        <v>11.366082</v>
      </c>
      <c r="X23" s="634">
        <f>37.924*1.18</f>
        <v>44.750319999999995</v>
      </c>
      <c r="Y23" s="634">
        <f>82.6-X23-W23</f>
        <v>26.483598000000001</v>
      </c>
      <c r="Z23" s="634"/>
      <c r="AA23" s="634"/>
      <c r="AB23" s="634">
        <f>SUM(W23:AA23)</f>
        <v>82.6</v>
      </c>
    </row>
    <row r="24" spans="1:28" ht="101.25">
      <c r="A24" s="358" t="s">
        <v>527</v>
      </c>
      <c r="B24" s="158" t="s">
        <v>529</v>
      </c>
      <c r="C24" s="199" t="s">
        <v>390</v>
      </c>
      <c r="D24" s="408"/>
      <c r="E24" s="408">
        <v>20</v>
      </c>
      <c r="F24" s="516">
        <v>2018</v>
      </c>
      <c r="G24" s="516">
        <v>2019</v>
      </c>
      <c r="H24" s="512">
        <f>AB24</f>
        <v>76.977455305000007</v>
      </c>
      <c r="I24" s="512">
        <f>H24-W24</f>
        <v>76.977455305000007</v>
      </c>
      <c r="J24" s="512">
        <f>X24</f>
        <v>0</v>
      </c>
      <c r="K24" s="512">
        <v>0</v>
      </c>
      <c r="L24" s="512">
        <v>0</v>
      </c>
      <c r="M24" s="512">
        <v>0</v>
      </c>
      <c r="N24" s="512">
        <v>0</v>
      </c>
      <c r="O24" s="512">
        <v>0</v>
      </c>
      <c r="P24" s="512">
        <v>10</v>
      </c>
      <c r="Q24" s="512">
        <v>0</v>
      </c>
      <c r="R24" s="512">
        <v>10</v>
      </c>
      <c r="S24" s="512">
        <v>0</v>
      </c>
      <c r="T24" s="512">
        <v>0</v>
      </c>
      <c r="U24" s="513">
        <f>K24++M24+O24+Q24+S24</f>
        <v>0</v>
      </c>
      <c r="V24" s="513">
        <f>L24+N24+P24+R24+T24</f>
        <v>20</v>
      </c>
      <c r="W24" s="634"/>
      <c r="X24" s="634"/>
      <c r="Y24" s="634">
        <f>21164.703315/1000+21164.703315/1000-17.7+4.85</f>
        <v>29.47940663</v>
      </c>
      <c r="Z24" s="634">
        <f>21164.703315/1000+4323.34536/1000-4.85+17.7+9.95-0.79</f>
        <v>47.498048675</v>
      </c>
      <c r="AA24" s="634"/>
      <c r="AB24" s="634">
        <f>SUM(W24:AA24)</f>
        <v>76.977455305000007</v>
      </c>
    </row>
    <row r="25" spans="1:28" ht="24" customHeight="1">
      <c r="A25" s="156" t="s">
        <v>80</v>
      </c>
      <c r="B25" s="155" t="s">
        <v>550</v>
      </c>
      <c r="C25" s="199"/>
      <c r="D25" s="408"/>
      <c r="E25" s="408"/>
      <c r="F25" s="516"/>
      <c r="G25" s="516"/>
      <c r="H25" s="512"/>
      <c r="I25" s="512"/>
      <c r="J25" s="512"/>
      <c r="K25" s="512"/>
      <c r="L25" s="512"/>
      <c r="M25" s="512"/>
      <c r="N25" s="512"/>
      <c r="O25" s="512"/>
      <c r="P25" s="512"/>
      <c r="Q25" s="512"/>
      <c r="R25" s="512"/>
      <c r="S25" s="512"/>
      <c r="T25" s="512"/>
      <c r="U25" s="513"/>
      <c r="V25" s="513"/>
      <c r="W25" s="634"/>
      <c r="X25" s="634"/>
      <c r="Y25" s="634"/>
      <c r="Z25" s="634"/>
      <c r="AA25" s="634"/>
      <c r="AB25" s="634"/>
    </row>
    <row r="26" spans="1:28" ht="60.75">
      <c r="A26" s="358" t="s">
        <v>549</v>
      </c>
      <c r="B26" s="158" t="s">
        <v>554</v>
      </c>
      <c r="C26" s="199" t="s">
        <v>390</v>
      </c>
      <c r="D26" s="408">
        <v>13.353999999999999</v>
      </c>
      <c r="E26" s="408"/>
      <c r="F26" s="516">
        <v>2019</v>
      </c>
      <c r="G26" s="516">
        <v>2019</v>
      </c>
      <c r="H26" s="512">
        <f t="shared" ref="H26" si="4">AB26</f>
        <v>6.6369359599999997</v>
      </c>
      <c r="I26" s="512">
        <f>H26-W26</f>
        <v>6.6369359599999997</v>
      </c>
      <c r="J26" s="512">
        <f>X26</f>
        <v>0</v>
      </c>
      <c r="K26" s="512" t="str">
        <f>IF(G26=2016,D26,"0,00")</f>
        <v>0,00</v>
      </c>
      <c r="L26" s="512" t="str">
        <f>IF(G26=2016,E26,"0,00")</f>
        <v>0,00</v>
      </c>
      <c r="M26" s="512" t="str">
        <f>IF(G26=2017,D26,"0,00")</f>
        <v>0,00</v>
      </c>
      <c r="N26" s="512" t="str">
        <f>IF(G26=2017,E26,"0,00")</f>
        <v>0,00</v>
      </c>
      <c r="O26" s="512" t="str">
        <f>IF(G26=2018,D26,"0,00")</f>
        <v>0,00</v>
      </c>
      <c r="P26" s="512" t="str">
        <f>IF(G26=2018,E26,"0,00")</f>
        <v>0,00</v>
      </c>
      <c r="Q26" s="512">
        <f>IF(G26=2019,D26,"0,00")</f>
        <v>13.353999999999999</v>
      </c>
      <c r="R26" s="512">
        <f>IF(G26=2019,E26,"0,00")</f>
        <v>0</v>
      </c>
      <c r="S26" s="512" t="str">
        <f>IF(G26=2020,D26,"0,00")</f>
        <v>0,00</v>
      </c>
      <c r="T26" s="512" t="str">
        <f>IF(G26=2020,E26,"0,00")</f>
        <v>0,00</v>
      </c>
      <c r="U26" s="513" t="e">
        <f t="shared" ref="U26" si="5">K26++M26+O26+Q26+S26</f>
        <v>#VALUE!</v>
      </c>
      <c r="V26" s="513" t="e">
        <f t="shared" ref="V26" si="6">L26+N26+P26+R26+T26</f>
        <v>#VALUE!</v>
      </c>
      <c r="W26" s="512"/>
      <c r="X26" s="512"/>
      <c r="Y26" s="512"/>
      <c r="Z26" s="512">
        <f>6636.93596/1000</f>
        <v>6.6369359599999997</v>
      </c>
      <c r="AA26" s="512"/>
      <c r="AB26" s="512">
        <f t="shared" ref="AB26" si="7">SUM(W26:AA26)</f>
        <v>6.6369359599999997</v>
      </c>
    </row>
    <row r="27" spans="1:28">
      <c r="A27" s="199"/>
      <c r="B27" s="159" t="s">
        <v>482</v>
      </c>
      <c r="C27" s="199"/>
      <c r="D27" s="513">
        <f t="shared" ref="D27" si="8">SUM(D23:D26)</f>
        <v>13.353999999999999</v>
      </c>
      <c r="E27" s="513">
        <f t="shared" ref="E27" si="9">SUM(E23:E26)</f>
        <v>40</v>
      </c>
      <c r="F27" s="517"/>
      <c r="G27" s="517"/>
      <c r="H27" s="513">
        <f t="shared" ref="H27:U27" si="10">SUM(H23:H26)</f>
        <v>166.21439126499999</v>
      </c>
      <c r="I27" s="513">
        <f t="shared" si="10"/>
        <v>154.84830926499998</v>
      </c>
      <c r="J27" s="513">
        <f t="shared" si="10"/>
        <v>44.750319999999995</v>
      </c>
      <c r="K27" s="513">
        <f t="shared" si="10"/>
        <v>0</v>
      </c>
      <c r="L27" s="513">
        <f t="shared" si="10"/>
        <v>0</v>
      </c>
      <c r="M27" s="513">
        <f t="shared" si="10"/>
        <v>0</v>
      </c>
      <c r="N27" s="513">
        <f t="shared" si="10"/>
        <v>20</v>
      </c>
      <c r="O27" s="513">
        <f t="shared" si="10"/>
        <v>0</v>
      </c>
      <c r="P27" s="513">
        <f t="shared" si="10"/>
        <v>10</v>
      </c>
      <c r="Q27" s="513">
        <f t="shared" si="10"/>
        <v>13.353999999999999</v>
      </c>
      <c r="R27" s="513">
        <f t="shared" si="10"/>
        <v>10</v>
      </c>
      <c r="S27" s="513">
        <f t="shared" si="10"/>
        <v>0</v>
      </c>
      <c r="T27" s="513">
        <f t="shared" si="10"/>
        <v>0</v>
      </c>
      <c r="U27" s="513" t="e">
        <f t="shared" si="10"/>
        <v>#VALUE!</v>
      </c>
      <c r="V27" s="513" t="e">
        <f>SUM(V23:V26)</f>
        <v>#VALUE!</v>
      </c>
      <c r="W27" s="513">
        <f>SUM(W23:W26)</f>
        <v>11.366082</v>
      </c>
      <c r="X27" s="513">
        <f t="shared" ref="X27:AA27" si="11">SUM(X23:X26)</f>
        <v>44.750319999999995</v>
      </c>
      <c r="Y27" s="513">
        <f t="shared" si="11"/>
        <v>55.96300463</v>
      </c>
      <c r="Z27" s="513">
        <f t="shared" si="11"/>
        <v>54.134984635000002</v>
      </c>
      <c r="AA27" s="513">
        <f t="shared" si="11"/>
        <v>0</v>
      </c>
      <c r="AB27" s="513">
        <f>SUM(AB23:AB26)</f>
        <v>166.21439126499999</v>
      </c>
    </row>
    <row r="28" spans="1:28" ht="40.5">
      <c r="A28" s="156" t="s">
        <v>254</v>
      </c>
      <c r="B28" s="155" t="s">
        <v>219</v>
      </c>
      <c r="C28" s="199"/>
      <c r="D28" s="408"/>
      <c r="E28" s="408"/>
      <c r="F28" s="516"/>
      <c r="G28" s="516"/>
      <c r="H28" s="512"/>
      <c r="I28" s="512"/>
      <c r="J28" s="513"/>
      <c r="K28" s="513"/>
      <c r="L28" s="513"/>
      <c r="M28" s="513"/>
      <c r="N28" s="513"/>
      <c r="O28" s="513"/>
      <c r="P28" s="513"/>
      <c r="Q28" s="512"/>
      <c r="R28" s="512"/>
      <c r="S28" s="513"/>
      <c r="T28" s="513"/>
      <c r="U28" s="513"/>
      <c r="V28" s="513"/>
      <c r="W28" s="512"/>
      <c r="X28" s="512"/>
      <c r="Y28" s="512"/>
      <c r="Z28" s="512"/>
      <c r="AA28" s="512"/>
      <c r="AB28" s="512"/>
    </row>
    <row r="29" spans="1:28" ht="40.5">
      <c r="A29" s="358" t="s">
        <v>185</v>
      </c>
      <c r="B29" s="157" t="s">
        <v>555</v>
      </c>
      <c r="C29" s="199" t="s">
        <v>411</v>
      </c>
      <c r="D29" s="408"/>
      <c r="E29" s="408"/>
      <c r="F29" s="516">
        <v>2018</v>
      </c>
      <c r="G29" s="516">
        <v>2019</v>
      </c>
      <c r="H29" s="512">
        <f t="shared" ref="H29" si="12">AB29</f>
        <v>3.1824600000000003</v>
      </c>
      <c r="I29" s="512">
        <f>H29-W29</f>
        <v>3.1824600000000003</v>
      </c>
      <c r="J29" s="512">
        <f>X29</f>
        <v>0</v>
      </c>
      <c r="K29" s="512" t="str">
        <f>IF(G29=2016,D29,"0,00")</f>
        <v>0,00</v>
      </c>
      <c r="L29" s="512" t="str">
        <f>IF(G29=2016,E29,"0,00")</f>
        <v>0,00</v>
      </c>
      <c r="M29" s="512" t="str">
        <f>IF(G29=2017,D29,"0,00")</f>
        <v>0,00</v>
      </c>
      <c r="N29" s="512" t="str">
        <f>IF(G29=2017,E29,"0,00")</f>
        <v>0,00</v>
      </c>
      <c r="O29" s="512" t="str">
        <f>IF(G29=2018,D29,"0,00")</f>
        <v>0,00</v>
      </c>
      <c r="P29" s="512" t="str">
        <f>IF(G29=2018,E29,"0,00")</f>
        <v>0,00</v>
      </c>
      <c r="Q29" s="512">
        <f>IF(G29=2019,D29,"0,00")</f>
        <v>0</v>
      </c>
      <c r="R29" s="512">
        <f>IF(G29=2019,E29,"0,00")</f>
        <v>0</v>
      </c>
      <c r="S29" s="512" t="str">
        <f>IF(G29=2020,D29,"0,00")</f>
        <v>0,00</v>
      </c>
      <c r="T29" s="512" t="str">
        <f>IF(G29=2020,E29,"0,00")</f>
        <v>0,00</v>
      </c>
      <c r="U29" s="513" t="e">
        <f t="shared" ref="U29" si="13">K29++M29+O29+Q29+S29</f>
        <v>#VALUE!</v>
      </c>
      <c r="V29" s="513" t="e">
        <f t="shared" ref="V29" si="14">L29+N29+P29+R29+T29</f>
        <v>#VALUE!</v>
      </c>
      <c r="W29" s="592"/>
      <c r="X29" s="592"/>
      <c r="Y29" s="592">
        <v>0.17346</v>
      </c>
      <c r="Z29" s="512">
        <f>(2100*1.18)/1000+450*1.18/1000</f>
        <v>3.0090000000000003</v>
      </c>
      <c r="AA29" s="512"/>
      <c r="AB29" s="512">
        <f>SUM(W29:AA29)</f>
        <v>3.1824600000000003</v>
      </c>
    </row>
    <row r="30" spans="1:28" ht="40.5">
      <c r="A30" s="358" t="s">
        <v>186</v>
      </c>
      <c r="B30" s="157" t="s">
        <v>591</v>
      </c>
      <c r="C30" s="199" t="s">
        <v>411</v>
      </c>
      <c r="D30" s="408"/>
      <c r="E30" s="408"/>
      <c r="F30" s="516">
        <v>2018</v>
      </c>
      <c r="G30" s="516">
        <v>2020</v>
      </c>
      <c r="H30" s="512">
        <f t="shared" ref="H30" si="15">AB30</f>
        <v>3.1824600000000003</v>
      </c>
      <c r="I30" s="512">
        <f>H30-W30</f>
        <v>3.1824600000000003</v>
      </c>
      <c r="J30" s="512">
        <f>X30</f>
        <v>0</v>
      </c>
      <c r="K30" s="512" t="str">
        <f>IF(G30=2016,D30,"0,00")</f>
        <v>0,00</v>
      </c>
      <c r="L30" s="512" t="str">
        <f>IF(G30=2016,E30,"0,00")</f>
        <v>0,00</v>
      </c>
      <c r="M30" s="512" t="str">
        <f>IF(G30=2017,D30,"0,00")</f>
        <v>0,00</v>
      </c>
      <c r="N30" s="512" t="str">
        <f>IF(G30=2017,E30,"0,00")</f>
        <v>0,00</v>
      </c>
      <c r="O30" s="512" t="str">
        <f>IF(G30=2018,D30,"0,00")</f>
        <v>0,00</v>
      </c>
      <c r="P30" s="512" t="str">
        <f>IF(G30=2018,E30,"0,00")</f>
        <v>0,00</v>
      </c>
      <c r="Q30" s="512" t="str">
        <f>IF(G30=2019,D30,"0,00")</f>
        <v>0,00</v>
      </c>
      <c r="R30" s="512" t="str">
        <f>IF(G30=2019,E30,"0,00")</f>
        <v>0,00</v>
      </c>
      <c r="S30" s="512">
        <f>IF(G30=2020,D30,"0,00")</f>
        <v>0</v>
      </c>
      <c r="T30" s="512">
        <f>IF(G30=2020,E30,"0,00")</f>
        <v>0</v>
      </c>
      <c r="U30" s="513" t="e">
        <f t="shared" ref="U30" si="16">K30++M30+O30+Q30+S30</f>
        <v>#VALUE!</v>
      </c>
      <c r="V30" s="513" t="e">
        <f t="shared" ref="V30" si="17">L30+N30+P30+R30+T30</f>
        <v>#VALUE!</v>
      </c>
      <c r="W30" s="592"/>
      <c r="X30" s="592"/>
      <c r="Y30" s="592">
        <v>0.17346</v>
      </c>
      <c r="Z30" s="592"/>
      <c r="AA30" s="512">
        <f>(2100*1.18)/1000+450*1.18/1000</f>
        <v>3.0090000000000003</v>
      </c>
      <c r="AB30" s="512">
        <f>SUM(W30:AA30)</f>
        <v>3.1824600000000003</v>
      </c>
    </row>
    <row r="31" spans="1:28">
      <c r="A31" s="199"/>
      <c r="B31" s="159" t="s">
        <v>218</v>
      </c>
      <c r="C31" s="514"/>
      <c r="D31" s="513">
        <f t="shared" ref="D31:AA31" si="18">SUM(D29:D30)</f>
        <v>0</v>
      </c>
      <c r="E31" s="513">
        <f t="shared" si="18"/>
        <v>0</v>
      </c>
      <c r="F31" s="517"/>
      <c r="G31" s="517"/>
      <c r="H31" s="513">
        <f t="shared" si="18"/>
        <v>6.3649200000000006</v>
      </c>
      <c r="I31" s="513">
        <f t="shared" si="18"/>
        <v>6.3649200000000006</v>
      </c>
      <c r="J31" s="513">
        <f t="shared" si="18"/>
        <v>0</v>
      </c>
      <c r="K31" s="513">
        <f t="shared" si="18"/>
        <v>0</v>
      </c>
      <c r="L31" s="513">
        <f t="shared" si="18"/>
        <v>0</v>
      </c>
      <c r="M31" s="513">
        <f t="shared" si="18"/>
        <v>0</v>
      </c>
      <c r="N31" s="513">
        <f t="shared" si="18"/>
        <v>0</v>
      </c>
      <c r="O31" s="513">
        <f t="shared" si="18"/>
        <v>0</v>
      </c>
      <c r="P31" s="513">
        <f t="shared" si="18"/>
        <v>0</v>
      </c>
      <c r="Q31" s="513">
        <f t="shared" si="18"/>
        <v>0</v>
      </c>
      <c r="R31" s="513">
        <f t="shared" si="18"/>
        <v>0</v>
      </c>
      <c r="S31" s="513">
        <f t="shared" si="18"/>
        <v>0</v>
      </c>
      <c r="T31" s="513">
        <f t="shared" si="18"/>
        <v>0</v>
      </c>
      <c r="U31" s="513" t="e">
        <f t="shared" si="18"/>
        <v>#VALUE!</v>
      </c>
      <c r="V31" s="513" t="e">
        <f t="shared" si="18"/>
        <v>#VALUE!</v>
      </c>
      <c r="W31" s="513">
        <f t="shared" si="18"/>
        <v>0</v>
      </c>
      <c r="X31" s="513">
        <f t="shared" si="18"/>
        <v>0</v>
      </c>
      <c r="Y31" s="513">
        <f t="shared" si="18"/>
        <v>0.34692000000000001</v>
      </c>
      <c r="Z31" s="513">
        <f t="shared" si="18"/>
        <v>3.0090000000000003</v>
      </c>
      <c r="AA31" s="513">
        <f t="shared" si="18"/>
        <v>3.0090000000000003</v>
      </c>
      <c r="AB31" s="513">
        <f>SUM(AB29:AB30)</f>
        <v>6.3649200000000006</v>
      </c>
    </row>
    <row r="32" spans="1:28" ht="51" customHeight="1">
      <c r="A32" s="156" t="s">
        <v>265</v>
      </c>
      <c r="B32" s="155" t="s">
        <v>557</v>
      </c>
      <c r="C32" s="199"/>
      <c r="D32" s="408"/>
      <c r="E32" s="408"/>
      <c r="F32" s="516"/>
      <c r="G32" s="516"/>
      <c r="H32" s="513"/>
      <c r="I32" s="512"/>
      <c r="J32" s="513"/>
      <c r="K32" s="513"/>
      <c r="L32" s="513"/>
      <c r="M32" s="513"/>
      <c r="N32" s="513"/>
      <c r="O32" s="513"/>
      <c r="P32" s="513"/>
      <c r="Q32" s="513"/>
      <c r="R32" s="513"/>
      <c r="S32" s="513"/>
      <c r="T32" s="513"/>
      <c r="U32" s="513"/>
      <c r="V32" s="513"/>
      <c r="W32" s="512"/>
      <c r="X32" s="512"/>
      <c r="Y32" s="512"/>
      <c r="Z32" s="512"/>
      <c r="AA32" s="512"/>
      <c r="AB32" s="512"/>
    </row>
    <row r="33" spans="1:28" ht="55.5" customHeight="1">
      <c r="A33" s="358" t="s">
        <v>485</v>
      </c>
      <c r="B33" s="158" t="s">
        <v>559</v>
      </c>
      <c r="C33" s="199" t="s">
        <v>411</v>
      </c>
      <c r="D33" s="408"/>
      <c r="E33" s="408"/>
      <c r="F33" s="516">
        <v>2018</v>
      </c>
      <c r="G33" s="516">
        <v>2018</v>
      </c>
      <c r="H33" s="512">
        <f t="shared" ref="H33:H34" si="19">AB33</f>
        <v>0.7575599999999999</v>
      </c>
      <c r="I33" s="512">
        <f>H33-W33</f>
        <v>0.7575599999999999</v>
      </c>
      <c r="J33" s="512">
        <f>X33</f>
        <v>0</v>
      </c>
      <c r="K33" s="512" t="str">
        <f>IF(G33=2016,D33,"0,00")</f>
        <v>0,00</v>
      </c>
      <c r="L33" s="512" t="str">
        <f>IF(G33=2016,E33,"0,00")</f>
        <v>0,00</v>
      </c>
      <c r="M33" s="512" t="str">
        <f>IF(G33=2017,D33,"0,00")</f>
        <v>0,00</v>
      </c>
      <c r="N33" s="512" t="str">
        <f>IF(G33=2017,E33,"0,00")</f>
        <v>0,00</v>
      </c>
      <c r="O33" s="512">
        <f>IF(G33=2018,D33,"0,00")</f>
        <v>0</v>
      </c>
      <c r="P33" s="512">
        <f>IF(G33=2018,E33,"0,00")</f>
        <v>0</v>
      </c>
      <c r="Q33" s="512" t="str">
        <f>IF(G33=2019,D33,"0,00")</f>
        <v>0,00</v>
      </c>
      <c r="R33" s="512" t="str">
        <f>IF(G33=2019,E33,"0,00")</f>
        <v>0,00</v>
      </c>
      <c r="S33" s="512" t="str">
        <f>IF(G33=2020,D33,"0,00")</f>
        <v>0,00</v>
      </c>
      <c r="T33" s="512" t="str">
        <f>IF(G33=2020,E33,"0,00")</f>
        <v>0,00</v>
      </c>
      <c r="U33" s="513" t="e">
        <f t="shared" ref="U33" si="20">K33++M33+O33+Q33+S33</f>
        <v>#VALUE!</v>
      </c>
      <c r="V33" s="513" t="e">
        <f t="shared" ref="V33" si="21">L33+N33+P33+R33+T33</f>
        <v>#VALUE!</v>
      </c>
      <c r="W33" s="592"/>
      <c r="X33" s="592"/>
      <c r="Y33" s="592">
        <v>0.7575599999999999</v>
      </c>
      <c r="Z33" s="592"/>
      <c r="AA33" s="512"/>
      <c r="AB33" s="512">
        <f>SUM(W33:AA33)</f>
        <v>0.7575599999999999</v>
      </c>
    </row>
    <row r="34" spans="1:28" ht="55.5" customHeight="1">
      <c r="A34" s="358" t="s">
        <v>558</v>
      </c>
      <c r="B34" s="157" t="s">
        <v>560</v>
      </c>
      <c r="C34" s="199" t="s">
        <v>411</v>
      </c>
      <c r="D34" s="408"/>
      <c r="E34" s="408"/>
      <c r="F34" s="516">
        <v>2019</v>
      </c>
      <c r="G34" s="516">
        <v>2019</v>
      </c>
      <c r="H34" s="512">
        <f t="shared" si="19"/>
        <v>0.7575599999999999</v>
      </c>
      <c r="I34" s="512">
        <f>H34-W34</f>
        <v>0.7575599999999999</v>
      </c>
      <c r="J34" s="512">
        <f>X34</f>
        <v>0</v>
      </c>
      <c r="K34" s="512" t="str">
        <f t="shared" ref="K34" si="22">IF(G34=2016,D34,"0,00")</f>
        <v>0,00</v>
      </c>
      <c r="L34" s="512" t="str">
        <f t="shared" ref="L34" si="23">IF(G34=2016,E34,"0,00")</f>
        <v>0,00</v>
      </c>
      <c r="M34" s="512" t="str">
        <f t="shared" ref="M34" si="24">IF(G34=2017,D34,"0,00")</f>
        <v>0,00</v>
      </c>
      <c r="N34" s="512" t="str">
        <f t="shared" ref="N34" si="25">IF(G34=2017,E34,"0,00")</f>
        <v>0,00</v>
      </c>
      <c r="O34" s="512" t="str">
        <f t="shared" ref="O34" si="26">IF(G34=2018,D34,"0,00")</f>
        <v>0,00</v>
      </c>
      <c r="P34" s="512" t="str">
        <f t="shared" ref="P34" si="27">IF(G34=2018,E34,"0,00")</f>
        <v>0,00</v>
      </c>
      <c r="Q34" s="512">
        <f t="shared" ref="Q34" si="28">IF(G34=2019,D34,"0,00")</f>
        <v>0</v>
      </c>
      <c r="R34" s="512">
        <f t="shared" ref="R34" si="29">IF(G34=2019,E34,"0,00")</f>
        <v>0</v>
      </c>
      <c r="S34" s="512" t="str">
        <f t="shared" ref="S34" si="30">IF(G34=2020,D34,"0,00")</f>
        <v>0,00</v>
      </c>
      <c r="T34" s="512" t="str">
        <f t="shared" ref="T34" si="31">IF(G34=2020,E34,"0,00")</f>
        <v>0,00</v>
      </c>
      <c r="U34" s="513" t="e">
        <f t="shared" ref="U34" si="32">K34++M34+O34+Q34+S34</f>
        <v>#VALUE!</v>
      </c>
      <c r="V34" s="513" t="e">
        <f t="shared" ref="V34" si="33">L34+N34+P34+R34+T34</f>
        <v>#VALUE!</v>
      </c>
      <c r="W34" s="592"/>
      <c r="X34" s="592"/>
      <c r="Y34" s="592"/>
      <c r="Z34" s="592">
        <f>(600*1.18+(600*1.18*0.07))/1000</f>
        <v>0.7575599999999999</v>
      </c>
      <c r="AA34" s="512"/>
      <c r="AB34" s="512">
        <f>SUM(W34:AA34)</f>
        <v>0.7575599999999999</v>
      </c>
    </row>
    <row r="35" spans="1:28" collapsed="1">
      <c r="A35" s="199"/>
      <c r="B35" s="159" t="s">
        <v>220</v>
      </c>
      <c r="C35" s="199"/>
      <c r="D35" s="408"/>
      <c r="E35" s="408"/>
      <c r="F35" s="516"/>
      <c r="G35" s="516"/>
      <c r="H35" s="513">
        <f t="shared" ref="H35:AB35" si="34">SUM(H33:H34)</f>
        <v>1.5151199999999998</v>
      </c>
      <c r="I35" s="513">
        <f t="shared" si="34"/>
        <v>1.5151199999999998</v>
      </c>
      <c r="J35" s="513">
        <f t="shared" si="34"/>
        <v>0</v>
      </c>
      <c r="K35" s="513">
        <f t="shared" si="34"/>
        <v>0</v>
      </c>
      <c r="L35" s="513">
        <f t="shared" si="34"/>
        <v>0</v>
      </c>
      <c r="M35" s="513">
        <f t="shared" si="34"/>
        <v>0</v>
      </c>
      <c r="N35" s="513">
        <f t="shared" si="34"/>
        <v>0</v>
      </c>
      <c r="O35" s="513">
        <f t="shared" si="34"/>
        <v>0</v>
      </c>
      <c r="P35" s="513">
        <f t="shared" si="34"/>
        <v>0</v>
      </c>
      <c r="Q35" s="513">
        <f t="shared" si="34"/>
        <v>0</v>
      </c>
      <c r="R35" s="513">
        <f t="shared" si="34"/>
        <v>0</v>
      </c>
      <c r="S35" s="513">
        <f t="shared" si="34"/>
        <v>0</v>
      </c>
      <c r="T35" s="513">
        <f t="shared" si="34"/>
        <v>0</v>
      </c>
      <c r="U35" s="513" t="e">
        <f t="shared" si="34"/>
        <v>#VALUE!</v>
      </c>
      <c r="V35" s="513" t="e">
        <f t="shared" si="34"/>
        <v>#VALUE!</v>
      </c>
      <c r="W35" s="513">
        <f t="shared" si="34"/>
        <v>0</v>
      </c>
      <c r="X35" s="513">
        <f t="shared" si="34"/>
        <v>0</v>
      </c>
      <c r="Y35" s="513">
        <f t="shared" si="34"/>
        <v>0.7575599999999999</v>
      </c>
      <c r="Z35" s="513">
        <f t="shared" si="34"/>
        <v>0.7575599999999999</v>
      </c>
      <c r="AA35" s="513">
        <f t="shared" si="34"/>
        <v>0</v>
      </c>
      <c r="AB35" s="513">
        <f t="shared" si="34"/>
        <v>1.5151199999999998</v>
      </c>
    </row>
    <row r="36" spans="1:28" s="162" customFormat="1" hidden="1" outlineLevel="1">
      <c r="A36" s="160">
        <v>2</v>
      </c>
      <c r="B36" s="161" t="s">
        <v>89</v>
      </c>
      <c r="C36" s="369"/>
      <c r="D36" s="511">
        <f>D39</f>
        <v>0</v>
      </c>
      <c r="E36" s="511">
        <f>E39</f>
        <v>0</v>
      </c>
      <c r="F36" s="511"/>
      <c r="G36" s="511"/>
      <c r="H36" s="513">
        <f>AB36</f>
        <v>0</v>
      </c>
      <c r="I36" s="515">
        <f>SUM(I38:I38)</f>
        <v>0</v>
      </c>
      <c r="J36" s="515">
        <f t="shared" ref="J36:AA36" si="35">J39</f>
        <v>0</v>
      </c>
      <c r="K36" s="515">
        <f t="shared" si="35"/>
        <v>0</v>
      </c>
      <c r="L36" s="515">
        <f t="shared" si="35"/>
        <v>0</v>
      </c>
      <c r="M36" s="515"/>
      <c r="N36" s="515"/>
      <c r="O36" s="515"/>
      <c r="P36" s="515"/>
      <c r="Q36" s="515">
        <f t="shared" si="35"/>
        <v>0</v>
      </c>
      <c r="R36" s="515">
        <f t="shared" si="35"/>
        <v>0</v>
      </c>
      <c r="S36" s="515">
        <f t="shared" si="35"/>
        <v>0</v>
      </c>
      <c r="T36" s="515">
        <f t="shared" si="35"/>
        <v>0</v>
      </c>
      <c r="U36" s="515">
        <f t="shared" si="35"/>
        <v>0</v>
      </c>
      <c r="V36" s="515">
        <f t="shared" si="35"/>
        <v>0</v>
      </c>
      <c r="W36" s="515">
        <f t="shared" si="35"/>
        <v>0</v>
      </c>
      <c r="X36" s="515"/>
      <c r="Y36" s="515"/>
      <c r="Z36" s="515"/>
      <c r="AA36" s="515">
        <f t="shared" si="35"/>
        <v>0</v>
      </c>
      <c r="AB36" s="515">
        <f>SUM(AB37:AB38)</f>
        <v>0</v>
      </c>
    </row>
    <row r="37" spans="1:28" ht="60.75" hidden="1" outlineLevel="1">
      <c r="A37" s="160" t="s">
        <v>256</v>
      </c>
      <c r="B37" s="155" t="s">
        <v>160</v>
      </c>
      <c r="C37" s="199"/>
      <c r="D37" s="408"/>
      <c r="E37" s="408"/>
      <c r="F37" s="408"/>
      <c r="G37" s="408"/>
      <c r="H37" s="512"/>
      <c r="I37" s="512"/>
      <c r="J37" s="512"/>
      <c r="K37" s="512"/>
      <c r="L37" s="512"/>
      <c r="M37" s="512"/>
      <c r="N37" s="512"/>
      <c r="O37" s="512"/>
      <c r="P37" s="512"/>
      <c r="Q37" s="512"/>
      <c r="R37" s="512"/>
      <c r="S37" s="512"/>
      <c r="T37" s="512"/>
      <c r="U37" s="512"/>
      <c r="V37" s="512"/>
      <c r="W37" s="512"/>
      <c r="X37" s="512"/>
      <c r="Y37" s="512"/>
      <c r="Z37" s="512"/>
      <c r="AA37" s="512"/>
      <c r="AB37" s="512"/>
    </row>
    <row r="38" spans="1:28" hidden="1" outlineLevel="1">
      <c r="A38" s="160" t="s">
        <v>483</v>
      </c>
      <c r="B38" s="155" t="s">
        <v>594</v>
      </c>
      <c r="C38" s="199"/>
      <c r="D38" s="408"/>
      <c r="E38" s="408"/>
      <c r="F38" s="408"/>
      <c r="G38" s="408"/>
      <c r="H38" s="512"/>
      <c r="I38" s="512"/>
      <c r="J38" s="512"/>
      <c r="K38" s="512"/>
      <c r="L38" s="512"/>
      <c r="M38" s="512"/>
      <c r="N38" s="512"/>
      <c r="O38" s="512"/>
      <c r="P38" s="512"/>
      <c r="Q38" s="512"/>
      <c r="R38" s="512"/>
      <c r="S38" s="512"/>
      <c r="T38" s="512"/>
      <c r="U38" s="512"/>
      <c r="V38" s="512"/>
      <c r="W38" s="512"/>
      <c r="X38" s="512"/>
      <c r="Y38" s="512"/>
      <c r="Z38" s="512"/>
      <c r="AA38" s="512"/>
      <c r="AB38" s="512"/>
    </row>
    <row r="39" spans="1:28" hidden="1" outlineLevel="1">
      <c r="A39" s="199"/>
      <c r="B39" s="159" t="s">
        <v>294</v>
      </c>
      <c r="C39" s="199"/>
      <c r="D39" s="480">
        <f>SUM(D38:D38)</f>
        <v>0</v>
      </c>
      <c r="E39" s="480">
        <f>SUM(E38:E38)</f>
        <v>0</v>
      </c>
      <c r="F39" s="408"/>
      <c r="G39" s="408"/>
      <c r="H39" s="513">
        <f t="shared" ref="H39:AA39" si="36">SUM(H38:H38)</f>
        <v>0</v>
      </c>
      <c r="I39" s="513">
        <f t="shared" si="36"/>
        <v>0</v>
      </c>
      <c r="J39" s="513">
        <f t="shared" si="36"/>
        <v>0</v>
      </c>
      <c r="K39" s="513">
        <f t="shared" si="36"/>
        <v>0</v>
      </c>
      <c r="L39" s="513">
        <f t="shared" si="36"/>
        <v>0</v>
      </c>
      <c r="M39" s="513"/>
      <c r="N39" s="513"/>
      <c r="O39" s="513"/>
      <c r="P39" s="513"/>
      <c r="Q39" s="513">
        <f t="shared" si="36"/>
        <v>0</v>
      </c>
      <c r="R39" s="513">
        <f t="shared" si="36"/>
        <v>0</v>
      </c>
      <c r="S39" s="513">
        <f t="shared" si="36"/>
        <v>0</v>
      </c>
      <c r="T39" s="513">
        <f t="shared" si="36"/>
        <v>0</v>
      </c>
      <c r="U39" s="513">
        <f t="shared" si="36"/>
        <v>0</v>
      </c>
      <c r="V39" s="513">
        <f t="shared" si="36"/>
        <v>0</v>
      </c>
      <c r="W39" s="513">
        <f t="shared" si="36"/>
        <v>0</v>
      </c>
      <c r="X39" s="513"/>
      <c r="Y39" s="513"/>
      <c r="Z39" s="513"/>
      <c r="AA39" s="513">
        <f t="shared" si="36"/>
        <v>0</v>
      </c>
      <c r="AB39" s="513">
        <f>SUM(W39:AA39)</f>
        <v>0</v>
      </c>
    </row>
    <row r="40" spans="1:28">
      <c r="A40" s="148"/>
      <c r="B40" s="133"/>
      <c r="C40" s="133"/>
      <c r="D40" s="146"/>
      <c r="E40" s="146"/>
      <c r="F40" s="366"/>
      <c r="G40" s="366"/>
      <c r="H40" s="134" t="s">
        <v>290</v>
      </c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49"/>
      <c r="X40" s="149"/>
      <c r="Y40" s="149"/>
      <c r="Z40" s="149"/>
      <c r="AA40" s="149"/>
      <c r="AB40" s="149"/>
    </row>
    <row r="41" spans="1:28">
      <c r="A41" s="136" t="s">
        <v>121</v>
      </c>
      <c r="W41" s="134"/>
      <c r="X41" s="134"/>
      <c r="Y41" s="134"/>
      <c r="Z41" s="134"/>
      <c r="AA41" s="134"/>
      <c r="AB41" s="134"/>
    </row>
    <row r="42" spans="1:28">
      <c r="A42" s="136" t="s">
        <v>494</v>
      </c>
      <c r="W42" s="134"/>
      <c r="X42" s="134"/>
      <c r="Y42" s="134"/>
      <c r="Z42" s="134"/>
      <c r="AA42" s="134"/>
      <c r="AB42" s="134"/>
    </row>
    <row r="43" spans="1:28">
      <c r="A43" s="133" t="s">
        <v>391</v>
      </c>
      <c r="W43" s="134"/>
      <c r="X43" s="134"/>
      <c r="Y43" s="134"/>
      <c r="Z43" s="134"/>
      <c r="AA43" s="134"/>
      <c r="AB43" s="134"/>
    </row>
    <row r="44" spans="1:28" ht="16.5" customHeight="1">
      <c r="A44" s="143" t="s">
        <v>176</v>
      </c>
      <c r="C44" s="150"/>
      <c r="D44" s="187"/>
      <c r="E44" s="187"/>
      <c r="F44" s="370"/>
      <c r="G44" s="370"/>
      <c r="H44" s="150"/>
      <c r="I44" s="150"/>
      <c r="W44" s="151"/>
      <c r="X44" s="151"/>
      <c r="Y44" s="151"/>
      <c r="Z44" s="151"/>
      <c r="AA44" s="134"/>
      <c r="AB44" s="152"/>
    </row>
    <row r="45" spans="1:28">
      <c r="B45" s="150"/>
      <c r="C45" s="150"/>
      <c r="D45" s="187"/>
      <c r="E45" s="187"/>
      <c r="F45" s="370"/>
      <c r="G45" s="370"/>
      <c r="H45" s="153"/>
      <c r="I45" s="153"/>
      <c r="W45" s="151"/>
      <c r="X45" s="151"/>
      <c r="Y45" s="151"/>
      <c r="Z45" s="151"/>
      <c r="AA45" s="134"/>
      <c r="AB45" s="152"/>
    </row>
    <row r="48" spans="1:28">
      <c r="B48" s="291"/>
      <c r="D48" s="187"/>
      <c r="E48" s="187"/>
    </row>
    <row r="52" spans="1:9">
      <c r="B52" s="291"/>
      <c r="D52" s="187"/>
      <c r="E52" s="187"/>
    </row>
    <row r="54" spans="1:9">
      <c r="A54" s="133"/>
      <c r="B54" s="133"/>
      <c r="C54" s="133"/>
      <c r="D54" s="146"/>
    </row>
    <row r="55" spans="1:9">
      <c r="A55" s="133"/>
      <c r="B55" s="133"/>
      <c r="C55" s="133"/>
      <c r="D55" s="146"/>
    </row>
    <row r="56" spans="1:9">
      <c r="A56" s="133"/>
      <c r="B56" s="133"/>
      <c r="C56" s="133"/>
      <c r="D56" s="188"/>
      <c r="E56" s="187"/>
      <c r="F56" s="370"/>
    </row>
    <row r="57" spans="1:9">
      <c r="A57" s="133"/>
      <c r="B57" s="133"/>
      <c r="C57" s="133"/>
      <c r="D57" s="146"/>
    </row>
    <row r="58" spans="1:9">
      <c r="A58" s="133"/>
      <c r="B58" s="365"/>
      <c r="C58" s="133"/>
      <c r="D58" s="146"/>
    </row>
    <row r="59" spans="1:9">
      <c r="A59" s="133"/>
      <c r="B59" s="365"/>
      <c r="C59" s="133"/>
      <c r="D59" s="146"/>
    </row>
    <row r="60" spans="1:9">
      <c r="A60" s="133"/>
      <c r="B60" s="133"/>
      <c r="C60" s="133"/>
      <c r="D60" s="146"/>
    </row>
    <row r="61" spans="1:9">
      <c r="A61" s="133"/>
      <c r="B61" s="133"/>
      <c r="C61" s="133"/>
      <c r="D61" s="146"/>
    </row>
    <row r="62" spans="1:9">
      <c r="A62" s="133"/>
      <c r="B62" s="133"/>
      <c r="C62" s="133"/>
      <c r="D62" s="146"/>
    </row>
    <row r="63" spans="1:9">
      <c r="A63" s="133"/>
      <c r="B63" s="133"/>
      <c r="C63" s="133"/>
      <c r="D63" s="146"/>
    </row>
    <row r="64" spans="1:9">
      <c r="B64" s="291"/>
      <c r="C64" s="291"/>
      <c r="D64" s="187"/>
      <c r="E64" s="187"/>
      <c r="F64" s="370"/>
      <c r="G64" s="370"/>
      <c r="H64" s="153"/>
      <c r="I64" s="153"/>
    </row>
    <row r="65" spans="2:9">
      <c r="B65" s="291"/>
      <c r="C65" s="291"/>
      <c r="D65" s="187"/>
      <c r="E65" s="187"/>
      <c r="F65" s="370"/>
      <c r="G65" s="370"/>
      <c r="H65" s="153"/>
      <c r="I65" s="153"/>
    </row>
    <row r="66" spans="2:9">
      <c r="B66" s="291"/>
      <c r="C66" s="291"/>
      <c r="D66" s="187"/>
      <c r="E66" s="187"/>
      <c r="F66" s="370"/>
      <c r="G66" s="370"/>
      <c r="H66" s="153"/>
      <c r="I66" s="153"/>
    </row>
    <row r="67" spans="2:9">
      <c r="B67" s="291"/>
      <c r="C67" s="291"/>
      <c r="D67" s="187"/>
      <c r="E67" s="187"/>
      <c r="F67" s="370"/>
      <c r="G67" s="370"/>
      <c r="H67" s="153"/>
      <c r="I67" s="153"/>
    </row>
    <row r="69" spans="2:9">
      <c r="B69" s="291"/>
      <c r="D69" s="187"/>
      <c r="E69" s="187"/>
    </row>
    <row r="71" spans="2:9">
      <c r="B71" s="291"/>
      <c r="C71" s="291"/>
      <c r="D71" s="187"/>
      <c r="E71" s="187"/>
      <c r="F71" s="370"/>
      <c r="G71" s="370"/>
      <c r="H71" s="153"/>
      <c r="I71" s="153"/>
    </row>
  </sheetData>
  <customSheetViews>
    <customSheetView guid="{8313A758-6764-4FAF-B5C3-0AC63E11C07D}" scale="60" showPageBreaks="1" printArea="1">
      <selection activeCell="J15" sqref="J15:J16"/>
      <pageMargins left="0.19685039370078741" right="0.11811023622047245" top="0.51181102362204722" bottom="0.59055118110236227" header="0.51181102362204722" footer="0.51181102362204722"/>
      <printOptions horizontalCentered="1"/>
      <pageSetup paperSize="8" scale="40" fitToHeight="0" orientation="landscape" r:id="rId1"/>
      <headerFooter alignWithMargins="0">
        <oddFooter>&amp;R&amp;P</oddFooter>
      </headerFooter>
    </customSheetView>
    <customSheetView guid="{39750778-B4CA-4A61-A93E-2C57443220F3}" scale="60" showPageBreaks="1" printArea="1" hiddenRows="1" topLeftCell="D1">
      <selection activeCell="W15" sqref="W15:AB27"/>
      <pageMargins left="0.19685039370078741" right="0.11811023622047245" top="0.51181102362204722" bottom="0.59055118110236227" header="0.51181102362204722" footer="0.51181102362204722"/>
      <printOptions horizontalCentered="1"/>
      <pageSetup paperSize="8" scale="40" fitToHeight="0" orientation="landscape" r:id="rId2"/>
      <headerFooter alignWithMargins="0">
        <oddFooter>&amp;R&amp;P</oddFooter>
      </headerFooter>
    </customSheetView>
  </customSheetViews>
  <mergeCells count="27">
    <mergeCell ref="B15:B17"/>
    <mergeCell ref="C15:C16"/>
    <mergeCell ref="D15:E16"/>
    <mergeCell ref="F15:F17"/>
    <mergeCell ref="U18:V18"/>
    <mergeCell ref="K18:L18"/>
    <mergeCell ref="S18:T18"/>
    <mergeCell ref="Q18:R18"/>
    <mergeCell ref="D18:E18"/>
    <mergeCell ref="M18:N18"/>
    <mergeCell ref="O18:P18"/>
    <mergeCell ref="G6:J6"/>
    <mergeCell ref="G15:G17"/>
    <mergeCell ref="U16:V16"/>
    <mergeCell ref="Q16:R16"/>
    <mergeCell ref="K16:L16"/>
    <mergeCell ref="S16:T16"/>
    <mergeCell ref="K15:V15"/>
    <mergeCell ref="H15:H16"/>
    <mergeCell ref="I15:I16"/>
    <mergeCell ref="J15:J16"/>
    <mergeCell ref="A11:AB11"/>
    <mergeCell ref="A12:AB12"/>
    <mergeCell ref="W15:AB15"/>
    <mergeCell ref="A15:A17"/>
    <mergeCell ref="M16:N16"/>
    <mergeCell ref="O16:P16"/>
  </mergeCells>
  <phoneticPr fontId="41" type="noConversion"/>
  <conditionalFormatting sqref="H27">
    <cfRule type="cellIs" dxfId="1" priority="1" stopIfTrue="1" operator="notEqual">
      <formula>$AB$27</formula>
    </cfRule>
  </conditionalFormatting>
  <printOptions horizontalCentered="1"/>
  <pageMargins left="0.19685039370078741" right="0.11811023622047245" top="0.11811023622047245" bottom="0" header="0.51181102362204722" footer="0.51181102362204722"/>
  <pageSetup paperSize="9" scale="39" orientation="landscape" r:id="rId3"/>
  <headerFooter alignWithMargins="0">
    <oddFooter>&amp;R&amp;P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pageSetUpPr fitToPage="1"/>
  </sheetPr>
  <dimension ref="A1:P73"/>
  <sheetViews>
    <sheetView view="pageBreakPreview" topLeftCell="A52" zoomScaleNormal="100" workbookViewId="0">
      <selection activeCell="C11" sqref="C11"/>
    </sheetView>
  </sheetViews>
  <sheetFormatPr defaultRowHeight="15.75"/>
  <cols>
    <col min="1" max="1" width="7.25" style="1" bestFit="1" customWidth="1"/>
    <col min="2" max="2" width="58.875" style="1" customWidth="1"/>
    <col min="3" max="3" width="21.375" style="1" customWidth="1"/>
    <col min="4" max="16384" width="9" style="1"/>
  </cols>
  <sheetData>
    <row r="1" spans="1:16">
      <c r="C1" s="3" t="s">
        <v>241</v>
      </c>
    </row>
    <row r="2" spans="1:16">
      <c r="C2" s="3" t="s">
        <v>433</v>
      </c>
    </row>
    <row r="3" spans="1:16">
      <c r="C3" s="3" t="s">
        <v>178</v>
      </c>
    </row>
    <row r="4" spans="1:16">
      <c r="C4" s="3"/>
    </row>
    <row r="5" spans="1:16" ht="20.25" customHeight="1">
      <c r="A5" s="946" t="s">
        <v>386</v>
      </c>
      <c r="B5" s="946"/>
      <c r="C5" s="946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>
      <c r="C6" s="3" t="s">
        <v>434</v>
      </c>
    </row>
    <row r="7" spans="1:16">
      <c r="C7" s="3" t="s">
        <v>212</v>
      </c>
    </row>
    <row r="8" spans="1:16">
      <c r="C8" s="3" t="s">
        <v>620</v>
      </c>
    </row>
    <row r="9" spans="1:16">
      <c r="C9" s="3" t="s">
        <v>622</v>
      </c>
    </row>
    <row r="10" spans="1:16">
      <c r="C10" s="277" t="s">
        <v>675</v>
      </c>
    </row>
    <row r="11" spans="1:16">
      <c r="C11" s="3"/>
    </row>
    <row r="12" spans="1:16">
      <c r="C12" s="3" t="s">
        <v>173</v>
      </c>
    </row>
    <row r="15" spans="1:16" ht="21.75" customHeight="1">
      <c r="A15" s="194" t="s">
        <v>387</v>
      </c>
      <c r="B15" s="194" t="s">
        <v>388</v>
      </c>
      <c r="C15" s="194" t="s">
        <v>389</v>
      </c>
    </row>
    <row r="16" spans="1:16">
      <c r="A16" s="278" t="s">
        <v>252</v>
      </c>
      <c r="B16" s="947" t="s">
        <v>464</v>
      </c>
      <c r="C16" s="947"/>
    </row>
    <row r="17" spans="1:3">
      <c r="A17" s="278" t="s">
        <v>253</v>
      </c>
      <c r="B17" s="40" t="s">
        <v>395</v>
      </c>
      <c r="C17" s="280" t="s">
        <v>396</v>
      </c>
    </row>
    <row r="18" spans="1:3" ht="31.5">
      <c r="A18" s="278" t="s">
        <v>254</v>
      </c>
      <c r="B18" s="40" t="s">
        <v>221</v>
      </c>
      <c r="C18" s="280" t="s">
        <v>222</v>
      </c>
    </row>
    <row r="19" spans="1:3">
      <c r="A19" s="278" t="s">
        <v>255</v>
      </c>
      <c r="B19" s="945" t="s">
        <v>223</v>
      </c>
      <c r="C19" s="945"/>
    </row>
    <row r="20" spans="1:3">
      <c r="A20" s="278" t="s">
        <v>256</v>
      </c>
      <c r="B20" s="41" t="s">
        <v>224</v>
      </c>
      <c r="C20" s="280" t="s">
        <v>225</v>
      </c>
    </row>
    <row r="21" spans="1:3">
      <c r="A21" s="278" t="s">
        <v>257</v>
      </c>
      <c r="B21" s="41" t="s">
        <v>226</v>
      </c>
      <c r="C21" s="280" t="s">
        <v>222</v>
      </c>
    </row>
    <row r="22" spans="1:3">
      <c r="A22" s="278" t="s">
        <v>258</v>
      </c>
      <c r="B22" s="41" t="s">
        <v>227</v>
      </c>
      <c r="C22" s="280" t="s">
        <v>225</v>
      </c>
    </row>
    <row r="23" spans="1:3">
      <c r="A23" s="278" t="s">
        <v>259</v>
      </c>
      <c r="B23" s="41" t="s">
        <v>284</v>
      </c>
      <c r="C23" s="280" t="s">
        <v>222</v>
      </c>
    </row>
    <row r="24" spans="1:3" ht="31.5">
      <c r="A24" s="278" t="s">
        <v>90</v>
      </c>
      <c r="B24" s="40" t="s">
        <v>285</v>
      </c>
      <c r="C24" s="280" t="s">
        <v>225</v>
      </c>
    </row>
    <row r="25" spans="1:3">
      <c r="A25" s="278" t="s">
        <v>118</v>
      </c>
      <c r="B25" s="40" t="s">
        <v>286</v>
      </c>
      <c r="C25" s="280" t="s">
        <v>225</v>
      </c>
    </row>
    <row r="26" spans="1:3">
      <c r="A26" s="278">
        <v>3</v>
      </c>
      <c r="B26" s="945" t="s">
        <v>287</v>
      </c>
      <c r="C26" s="945"/>
    </row>
    <row r="27" spans="1:3" ht="31.5">
      <c r="A27" s="278" t="s">
        <v>288</v>
      </c>
      <c r="B27" s="40" t="s">
        <v>228</v>
      </c>
      <c r="C27" s="280" t="s">
        <v>225</v>
      </c>
    </row>
    <row r="28" spans="1:3" ht="31.5">
      <c r="A28" s="278" t="s">
        <v>229</v>
      </c>
      <c r="B28" s="40" t="s">
        <v>230</v>
      </c>
      <c r="C28" s="280" t="s">
        <v>225</v>
      </c>
    </row>
    <row r="29" spans="1:3">
      <c r="A29" s="278" t="s">
        <v>231</v>
      </c>
      <c r="B29" s="40" t="s">
        <v>232</v>
      </c>
      <c r="C29" s="280" t="s">
        <v>225</v>
      </c>
    </row>
    <row r="30" spans="1:3">
      <c r="A30" s="278" t="s">
        <v>233</v>
      </c>
      <c r="B30" s="40" t="s">
        <v>234</v>
      </c>
      <c r="C30" s="280" t="s">
        <v>225</v>
      </c>
    </row>
    <row r="31" spans="1:3">
      <c r="A31" s="278">
        <v>4</v>
      </c>
      <c r="B31" s="945" t="s">
        <v>235</v>
      </c>
      <c r="C31" s="945"/>
    </row>
    <row r="32" spans="1:3">
      <c r="A32" s="278" t="s">
        <v>260</v>
      </c>
      <c r="B32" s="40" t="s">
        <v>349</v>
      </c>
      <c r="C32" s="280" t="s">
        <v>222</v>
      </c>
    </row>
    <row r="33" spans="1:3" ht="47.25">
      <c r="A33" s="278" t="s">
        <v>261</v>
      </c>
      <c r="B33" s="40" t="s">
        <v>195</v>
      </c>
      <c r="C33" s="280" t="s">
        <v>222</v>
      </c>
    </row>
    <row r="34" spans="1:3">
      <c r="A34" s="278" t="s">
        <v>262</v>
      </c>
      <c r="B34" s="40" t="s">
        <v>196</v>
      </c>
      <c r="C34" s="280" t="s">
        <v>225</v>
      </c>
    </row>
    <row r="35" spans="1:3" ht="31.5">
      <c r="A35" s="278" t="s">
        <v>135</v>
      </c>
      <c r="B35" s="40" t="s">
        <v>197</v>
      </c>
      <c r="C35" s="280" t="s">
        <v>225</v>
      </c>
    </row>
    <row r="36" spans="1:3">
      <c r="A36" s="278" t="s">
        <v>136</v>
      </c>
      <c r="B36" s="40" t="s">
        <v>198</v>
      </c>
      <c r="C36" s="280" t="s">
        <v>222</v>
      </c>
    </row>
    <row r="37" spans="1:3">
      <c r="A37" s="278" t="s">
        <v>137</v>
      </c>
      <c r="B37" s="40" t="s">
        <v>199</v>
      </c>
      <c r="C37" s="280" t="s">
        <v>222</v>
      </c>
    </row>
    <row r="38" spans="1:3">
      <c r="A38" s="278">
        <v>5</v>
      </c>
      <c r="B38" s="945" t="s">
        <v>200</v>
      </c>
      <c r="C38" s="945"/>
    </row>
    <row r="39" spans="1:3">
      <c r="A39" s="278" t="s">
        <v>263</v>
      </c>
      <c r="B39" s="40" t="s">
        <v>201</v>
      </c>
      <c r="C39" s="281" t="s">
        <v>225</v>
      </c>
    </row>
    <row r="40" spans="1:3" ht="31.5">
      <c r="A40" s="278" t="s">
        <v>264</v>
      </c>
      <c r="B40" s="40" t="s">
        <v>202</v>
      </c>
      <c r="C40" s="281" t="s">
        <v>225</v>
      </c>
    </row>
    <row r="41" spans="1:3" ht="31.5">
      <c r="A41" s="278" t="s">
        <v>140</v>
      </c>
      <c r="B41" s="40" t="s">
        <v>245</v>
      </c>
      <c r="C41" s="280" t="s">
        <v>222</v>
      </c>
    </row>
    <row r="42" spans="1:3" ht="31.5">
      <c r="A42" s="278" t="s">
        <v>246</v>
      </c>
      <c r="B42" s="40" t="s">
        <v>247</v>
      </c>
      <c r="C42" s="280" t="s">
        <v>225</v>
      </c>
    </row>
    <row r="43" spans="1:3" ht="31.5">
      <c r="A43" s="278" t="s">
        <v>248</v>
      </c>
      <c r="B43" s="40" t="s">
        <v>408</v>
      </c>
      <c r="C43" s="280" t="s">
        <v>222</v>
      </c>
    </row>
    <row r="44" spans="1:3" ht="31.5">
      <c r="A44" s="278" t="s">
        <v>409</v>
      </c>
      <c r="B44" s="40" t="s">
        <v>375</v>
      </c>
      <c r="C44" s="280" t="s">
        <v>222</v>
      </c>
    </row>
    <row r="45" spans="1:3">
      <c r="A45" s="278">
        <v>6</v>
      </c>
      <c r="B45" s="945" t="s">
        <v>376</v>
      </c>
      <c r="C45" s="945"/>
    </row>
    <row r="46" spans="1:3" ht="31.5">
      <c r="A46" s="278" t="s">
        <v>169</v>
      </c>
      <c r="B46" s="40" t="s">
        <v>377</v>
      </c>
      <c r="C46" s="280" t="s">
        <v>222</v>
      </c>
    </row>
    <row r="47" spans="1:3">
      <c r="A47" s="278" t="s">
        <v>170</v>
      </c>
      <c r="B47" s="40" t="s">
        <v>378</v>
      </c>
      <c r="C47" s="280" t="s">
        <v>222</v>
      </c>
    </row>
    <row r="48" spans="1:3" ht="31.5">
      <c r="A48" s="278" t="s">
        <v>379</v>
      </c>
      <c r="B48" s="40" t="s">
        <v>295</v>
      </c>
      <c r="C48" s="280" t="s">
        <v>225</v>
      </c>
    </row>
    <row r="49" spans="1:3" ht="54" customHeight="1">
      <c r="A49" s="278" t="s">
        <v>380</v>
      </c>
      <c r="B49" s="40" t="s">
        <v>350</v>
      </c>
      <c r="C49" s="280" t="s">
        <v>225</v>
      </c>
    </row>
    <row r="50" spans="1:3" ht="33" customHeight="1">
      <c r="A50" s="858" t="s">
        <v>351</v>
      </c>
      <c r="B50" s="858"/>
      <c r="C50" s="858"/>
    </row>
    <row r="51" spans="1:3">
      <c r="A51" s="282" t="s">
        <v>250</v>
      </c>
      <c r="B51" s="282" t="s">
        <v>388</v>
      </c>
      <c r="C51" s="282" t="s">
        <v>389</v>
      </c>
    </row>
    <row r="52" spans="1:3">
      <c r="A52" s="278">
        <v>1</v>
      </c>
      <c r="B52" s="279" t="s">
        <v>352</v>
      </c>
      <c r="C52" s="279"/>
    </row>
    <row r="53" spans="1:3">
      <c r="A53" s="278" t="s">
        <v>253</v>
      </c>
      <c r="B53" s="42" t="s">
        <v>353</v>
      </c>
      <c r="C53" s="280" t="s">
        <v>225</v>
      </c>
    </row>
    <row r="54" spans="1:3">
      <c r="A54" s="278" t="s">
        <v>254</v>
      </c>
      <c r="B54" s="42" t="s">
        <v>213</v>
      </c>
      <c r="C54" s="280" t="s">
        <v>225</v>
      </c>
    </row>
    <row r="55" spans="1:3">
      <c r="A55" s="278" t="s">
        <v>265</v>
      </c>
      <c r="B55" s="40" t="s">
        <v>457</v>
      </c>
      <c r="C55" s="280" t="s">
        <v>225</v>
      </c>
    </row>
    <row r="56" spans="1:3" ht="31.5">
      <c r="A56" s="278" t="s">
        <v>280</v>
      </c>
      <c r="B56" s="40" t="s">
        <v>458</v>
      </c>
      <c r="C56" s="280" t="s">
        <v>225</v>
      </c>
    </row>
    <row r="57" spans="1:3">
      <c r="A57" s="278" t="s">
        <v>459</v>
      </c>
      <c r="B57" s="40" t="s">
        <v>460</v>
      </c>
      <c r="C57" s="280" t="s">
        <v>225</v>
      </c>
    </row>
    <row r="58" spans="1:3">
      <c r="A58" s="278" t="s">
        <v>461</v>
      </c>
      <c r="B58" s="40" t="s">
        <v>462</v>
      </c>
      <c r="C58" s="280" t="s">
        <v>222</v>
      </c>
    </row>
    <row r="59" spans="1:3">
      <c r="A59" s="278">
        <v>2</v>
      </c>
      <c r="B59" s="279" t="s">
        <v>287</v>
      </c>
      <c r="C59" s="279"/>
    </row>
    <row r="60" spans="1:3">
      <c r="A60" s="278" t="s">
        <v>256</v>
      </c>
      <c r="B60" s="40" t="s">
        <v>463</v>
      </c>
      <c r="C60" s="280" t="s">
        <v>225</v>
      </c>
    </row>
    <row r="61" spans="1:3" ht="31.5">
      <c r="A61" s="278" t="s">
        <v>257</v>
      </c>
      <c r="B61" s="40" t="s">
        <v>392</v>
      </c>
      <c r="C61" s="280" t="s">
        <v>225</v>
      </c>
    </row>
    <row r="62" spans="1:3">
      <c r="A62" s="278" t="s">
        <v>258</v>
      </c>
      <c r="B62" s="40" t="s">
        <v>393</v>
      </c>
      <c r="C62" s="280" t="s">
        <v>225</v>
      </c>
    </row>
    <row r="63" spans="1:3" ht="31.5">
      <c r="A63" s="278">
        <v>3</v>
      </c>
      <c r="B63" s="279" t="s">
        <v>203</v>
      </c>
      <c r="C63" s="279"/>
    </row>
    <row r="64" spans="1:3" ht="30.75" customHeight="1">
      <c r="A64" s="278" t="s">
        <v>288</v>
      </c>
      <c r="B64" s="40" t="s">
        <v>204</v>
      </c>
      <c r="C64" s="280" t="s">
        <v>222</v>
      </c>
    </row>
    <row r="65" spans="1:3">
      <c r="A65" s="278" t="s">
        <v>229</v>
      </c>
      <c r="B65" s="40" t="s">
        <v>205</v>
      </c>
      <c r="C65" s="280" t="s">
        <v>225</v>
      </c>
    </row>
    <row r="66" spans="1:3">
      <c r="A66" s="278" t="s">
        <v>231</v>
      </c>
      <c r="B66" s="40" t="s">
        <v>206</v>
      </c>
      <c r="C66" s="280" t="s">
        <v>222</v>
      </c>
    </row>
    <row r="67" spans="1:3">
      <c r="A67" s="278" t="s">
        <v>207</v>
      </c>
      <c r="B67" s="40" t="s">
        <v>208</v>
      </c>
      <c r="C67" s="280" t="s">
        <v>222</v>
      </c>
    </row>
    <row r="68" spans="1:3">
      <c r="A68" s="278" t="s">
        <v>209</v>
      </c>
      <c r="B68" s="40" t="s">
        <v>210</v>
      </c>
      <c r="C68" s="280" t="s">
        <v>225</v>
      </c>
    </row>
    <row r="69" spans="1:3">
      <c r="A69" s="278">
        <v>4</v>
      </c>
      <c r="B69" s="279" t="s">
        <v>376</v>
      </c>
      <c r="C69" s="279"/>
    </row>
    <row r="70" spans="1:3">
      <c r="A70" s="278" t="s">
        <v>260</v>
      </c>
      <c r="B70" s="40" t="s">
        <v>211</v>
      </c>
      <c r="C70" s="280" t="s">
        <v>222</v>
      </c>
    </row>
    <row r="71" spans="1:3" ht="31.5">
      <c r="A71" s="278" t="s">
        <v>261</v>
      </c>
      <c r="B71" s="40" t="s">
        <v>374</v>
      </c>
      <c r="C71" s="280" t="s">
        <v>225</v>
      </c>
    </row>
    <row r="72" spans="1:3">
      <c r="A72" s="278" t="s">
        <v>262</v>
      </c>
      <c r="B72" s="40" t="s">
        <v>477</v>
      </c>
      <c r="C72" s="280" t="s">
        <v>225</v>
      </c>
    </row>
    <row r="73" spans="1:3">
      <c r="A73" s="278" t="s">
        <v>135</v>
      </c>
      <c r="B73" s="40" t="s">
        <v>478</v>
      </c>
      <c r="C73" s="280" t="s">
        <v>225</v>
      </c>
    </row>
  </sheetData>
  <customSheetViews>
    <customSheetView guid="{4F1CD1AE-56BF-481C-B46D-882B53F60A62}" fitToPage="1" showRuler="0" topLeftCell="A4">
      <selection activeCell="B51" sqref="B51"/>
      <pageMargins left="0.7" right="0.7" top="0.75" bottom="0.75" header="0.3" footer="0.3"/>
      <pageSetup paperSize="9" scale="89" fitToHeight="2" orientation="portrait" r:id="rId1"/>
      <headerFooter alignWithMargins="0"/>
    </customSheetView>
    <customSheetView guid="{7DF0696A-AEA3-4F0A-B537-6A75D5770C28}" fitToPage="1" showRuler="0">
      <selection activeCell="E10" sqref="E10"/>
      <pageMargins left="0.7" right="0.7" top="0.75" bottom="0.75" header="0.3" footer="0.3"/>
      <pageSetup paperSize="9" scale="89" fitToHeight="2" orientation="portrait" r:id="rId2"/>
      <headerFooter alignWithMargins="0"/>
    </customSheetView>
    <customSheetView guid="{D1234401-B92E-47A8-88CA-60CCC5D8F15E}" fitToPage="1">
      <selection activeCell="B24" sqref="B24"/>
      <pageMargins left="0.7" right="0.7" top="0.75" bottom="0.75" header="0.3" footer="0.3"/>
      <pageSetup paperSize="9" scale="89" fitToHeight="2" orientation="portrait" r:id="rId3"/>
    </customSheetView>
    <customSheetView guid="{7480D686-972F-4793-95C6-3D9ED1E1ADD0}" fitToPage="1" showRuler="0">
      <selection activeCell="B24" sqref="B24"/>
      <pageMargins left="0.7" right="0.7" top="0.75" bottom="0.75" header="0.3" footer="0.3"/>
      <pageSetup paperSize="9" scale="89" fitToHeight="2" orientation="portrait" r:id="rId4"/>
      <headerFooter alignWithMargins="0"/>
    </customSheetView>
    <customSheetView guid="{1D7396F8-559A-4DD5-B412-CAD3B9FC6EB9}" fitToPage="1" showRuler="0">
      <selection activeCell="B24" sqref="B24"/>
      <pageMargins left="0.7" right="0.7" top="0.75" bottom="0.75" header="0.3" footer="0.3"/>
      <pageSetup paperSize="9" scale="89" fitToHeight="2" orientation="portrait" r:id="rId5"/>
      <headerFooter alignWithMargins="0"/>
    </customSheetView>
    <customSheetView guid="{EC03C00D-47BF-4C61-AC40-7967444A0F5A}" fitToPage="1" showRuler="0" topLeftCell="A67">
      <selection activeCell="E10" sqref="E10"/>
      <pageMargins left="0.7" right="0.7" top="0.75" bottom="0.75" header="0.3" footer="0.3"/>
      <pageSetup paperSize="9" scale="89" fitToHeight="2" orientation="portrait" r:id="rId6"/>
      <headerFooter alignWithMargins="0"/>
    </customSheetView>
    <customSheetView guid="{8313A758-6764-4FAF-B5C3-0AC63E11C07D}" showPageBreaks="1" fitToPage="1" view="pageBreakPreview" topLeftCell="A7">
      <selection activeCell="B9" sqref="B9"/>
      <pageMargins left="0.7" right="0.7" top="0.75" bottom="0.75" header="0.3" footer="0.3"/>
      <pageSetup paperSize="9" scale="93" fitToHeight="2" orientation="portrait" r:id="rId7"/>
    </customSheetView>
    <customSheetView guid="{39750778-B4CA-4A61-A93E-2C57443220F3}" showPageBreaks="1" fitToPage="1" view="pageBreakPreview" topLeftCell="A10">
      <selection activeCell="D89" sqref="D89"/>
      <pageMargins left="0.7" right="0.7" top="0.75" bottom="0.75" header="0.3" footer="0.3"/>
      <pageSetup paperSize="9" scale="93" fitToHeight="2" orientation="portrait" r:id="rId8"/>
    </customSheetView>
  </customSheetViews>
  <mergeCells count="8">
    <mergeCell ref="B45:C45"/>
    <mergeCell ref="A50:C50"/>
    <mergeCell ref="A5:C5"/>
    <mergeCell ref="B16:C16"/>
    <mergeCell ref="B19:C19"/>
    <mergeCell ref="B26:C26"/>
    <mergeCell ref="B31:C31"/>
    <mergeCell ref="B38:C38"/>
  </mergeCells>
  <phoneticPr fontId="0" type="noConversion"/>
  <pageMargins left="0.7" right="0.7" top="0.75" bottom="0.75" header="0.3" footer="0.3"/>
  <pageSetup paperSize="9" scale="93" fitToHeight="2" orientation="portrait" r:id="rId9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89"/>
  <sheetViews>
    <sheetView topLeftCell="A25" zoomScale="80" zoomScaleNormal="80" zoomScaleSheetLayoutView="75" workbookViewId="0">
      <selection activeCell="C65" sqref="C65"/>
    </sheetView>
  </sheetViews>
  <sheetFormatPr defaultRowHeight="15.75"/>
  <cols>
    <col min="1" max="1" width="7" style="611" customWidth="1"/>
    <col min="2" max="2" width="51.75" style="611" customWidth="1"/>
    <col min="3" max="5" width="12.75" style="611" customWidth="1"/>
    <col min="6" max="6" width="10.625" style="611" customWidth="1"/>
    <col min="7" max="7" width="11.375" style="611" customWidth="1"/>
    <col min="8" max="8" width="9" style="611"/>
    <col min="9" max="14" width="0" style="611" hidden="1" customWidth="1"/>
    <col min="15" max="16384" width="9" style="611"/>
  </cols>
  <sheetData>
    <row r="2" spans="1:7">
      <c r="G2" s="610" t="s">
        <v>598</v>
      </c>
    </row>
    <row r="3" spans="1:7">
      <c r="G3" s="610" t="s">
        <v>433</v>
      </c>
    </row>
    <row r="4" spans="1:7">
      <c r="G4" s="610" t="s">
        <v>178</v>
      </c>
    </row>
    <row r="6" spans="1:7" ht="60.75" customHeight="1">
      <c r="A6" s="948" t="s">
        <v>444</v>
      </c>
      <c r="B6" s="948"/>
      <c r="C6" s="948"/>
      <c r="D6" s="948"/>
      <c r="E6" s="948"/>
      <c r="F6" s="948"/>
      <c r="G6" s="948"/>
    </row>
    <row r="7" spans="1:7">
      <c r="G7" s="477" t="s">
        <v>434</v>
      </c>
    </row>
    <row r="8" spans="1:7">
      <c r="C8" s="53"/>
      <c r="G8" s="610" t="s">
        <v>615</v>
      </c>
    </row>
    <row r="9" spans="1:7">
      <c r="C9" s="53"/>
      <c r="G9" s="306" t="s">
        <v>623</v>
      </c>
    </row>
    <row r="10" spans="1:7">
      <c r="C10" s="53"/>
      <c r="G10" s="610" t="s">
        <v>676</v>
      </c>
    </row>
    <row r="11" spans="1:7">
      <c r="C11" s="53"/>
      <c r="G11" s="610" t="s">
        <v>173</v>
      </c>
    </row>
    <row r="12" spans="1:7">
      <c r="C12" s="53"/>
      <c r="G12" s="610"/>
    </row>
    <row r="13" spans="1:7" ht="16.5" thickBot="1">
      <c r="C13" s="53"/>
      <c r="G13" s="610" t="s">
        <v>104</v>
      </c>
    </row>
    <row r="14" spans="1:7" s="53" customFormat="1">
      <c r="A14" s="951" t="s">
        <v>250</v>
      </c>
      <c r="B14" s="953" t="s">
        <v>123</v>
      </c>
      <c r="C14" s="830">
        <v>2016</v>
      </c>
      <c r="D14" s="595">
        <v>2017</v>
      </c>
      <c r="E14" s="595">
        <v>2018</v>
      </c>
      <c r="F14" s="595">
        <v>2019</v>
      </c>
      <c r="G14" s="500">
        <v>2020</v>
      </c>
    </row>
    <row r="15" spans="1:7" s="53" customFormat="1">
      <c r="A15" s="952"/>
      <c r="B15" s="954"/>
      <c r="C15" s="952" t="s">
        <v>124</v>
      </c>
      <c r="D15" s="949" t="s">
        <v>124</v>
      </c>
      <c r="E15" s="949" t="s">
        <v>124</v>
      </c>
      <c r="F15" s="949" t="s">
        <v>124</v>
      </c>
      <c r="G15" s="950" t="s">
        <v>124</v>
      </c>
    </row>
    <row r="16" spans="1:7" s="53" customFormat="1">
      <c r="A16" s="952"/>
      <c r="B16" s="954"/>
      <c r="C16" s="952"/>
      <c r="D16" s="949"/>
      <c r="E16" s="949"/>
      <c r="F16" s="949"/>
      <c r="G16" s="950"/>
    </row>
    <row r="17" spans="1:8" s="336" customFormat="1" ht="16.5" thickBot="1">
      <c r="A17" s="346">
        <v>1</v>
      </c>
      <c r="B17" s="347">
        <v>2</v>
      </c>
      <c r="C17" s="567">
        <v>3</v>
      </c>
      <c r="D17" s="568">
        <v>4</v>
      </c>
      <c r="E17" s="568">
        <v>5</v>
      </c>
      <c r="F17" s="568">
        <v>6</v>
      </c>
      <c r="G17" s="569">
        <v>7</v>
      </c>
    </row>
    <row r="18" spans="1:8" s="336" customFormat="1">
      <c r="A18" s="320" t="s">
        <v>79</v>
      </c>
      <c r="B18" s="340" t="s">
        <v>125</v>
      </c>
      <c r="C18" s="533">
        <f>30.428*1.18</f>
        <v>35.90504</v>
      </c>
      <c r="D18" s="321">
        <f>D20</f>
        <v>61.157040000000002</v>
      </c>
      <c r="E18" s="321">
        <f>E20</f>
        <v>74.22672</v>
      </c>
      <c r="F18" s="321">
        <f>F20</f>
        <v>84.06438</v>
      </c>
      <c r="G18" s="322">
        <f>G20</f>
        <v>90.86354</v>
      </c>
    </row>
    <row r="19" spans="1:8" s="336" customFormat="1">
      <c r="A19" s="323"/>
      <c r="B19" s="559" t="s">
        <v>134</v>
      </c>
      <c r="C19" s="534"/>
      <c r="D19" s="283"/>
      <c r="E19" s="283"/>
      <c r="F19" s="283"/>
      <c r="G19" s="284"/>
    </row>
    <row r="20" spans="1:8" s="336" customFormat="1" ht="31.5">
      <c r="A20" s="323" t="s">
        <v>253</v>
      </c>
      <c r="B20" s="559" t="s">
        <v>406</v>
      </c>
      <c r="C20" s="534">
        <f>C18</f>
        <v>35.90504</v>
      </c>
      <c r="D20" s="283">
        <f>51.828*1.18</f>
        <v>61.157040000000002</v>
      </c>
      <c r="E20" s="283">
        <f>62.904*1.18</f>
        <v>74.22672</v>
      </c>
      <c r="F20" s="283">
        <f>71.241*1.18</f>
        <v>84.06438</v>
      </c>
      <c r="G20" s="284">
        <f>77.003*1.18</f>
        <v>90.86354</v>
      </c>
    </row>
    <row r="21" spans="1:8" s="336" customFormat="1" ht="16.5" thickBot="1">
      <c r="A21" s="324" t="s">
        <v>254</v>
      </c>
      <c r="B21" s="560" t="s">
        <v>428</v>
      </c>
      <c r="C21" s="535">
        <v>0</v>
      </c>
      <c r="D21" s="285">
        <f>+C21*1.054</f>
        <v>0</v>
      </c>
      <c r="E21" s="285">
        <f>+D21*1.054</f>
        <v>0</v>
      </c>
      <c r="F21" s="285">
        <f>+E21*1.054</f>
        <v>0</v>
      </c>
      <c r="G21" s="286">
        <f>+F21*1.054</f>
        <v>0</v>
      </c>
    </row>
    <row r="22" spans="1:8" s="336" customFormat="1">
      <c r="A22" s="289" t="s">
        <v>436</v>
      </c>
      <c r="B22" s="561" t="s">
        <v>147</v>
      </c>
      <c r="C22" s="533">
        <f>+C23+C29+C30+C31+C32</f>
        <v>33.760968200000001</v>
      </c>
      <c r="D22" s="321">
        <f>+D23+D29+D30+D31+D32</f>
        <v>42.046692199999995</v>
      </c>
      <c r="E22" s="321">
        <f t="shared" ref="E22" si="0">+E23+E29+E30+E31+E32</f>
        <v>46.718882200000003</v>
      </c>
      <c r="F22" s="321">
        <f>+F23+F29+F30+F31+F32</f>
        <v>55.216735200000002</v>
      </c>
      <c r="G22" s="322">
        <f>+G23+G29+G30+G31+G32</f>
        <v>62.405889929999994</v>
      </c>
    </row>
    <row r="23" spans="1:8" s="336" customFormat="1">
      <c r="A23" s="287" t="s">
        <v>252</v>
      </c>
      <c r="B23" s="562" t="s">
        <v>126</v>
      </c>
      <c r="C23" s="661">
        <f>0.76796*1.18</f>
        <v>0.90619279999999991</v>
      </c>
      <c r="D23" s="283">
        <f>955.19/1000*1.18</f>
        <v>1.1271242000000001</v>
      </c>
      <c r="E23" s="283">
        <f>1098.47/1000*1.18</f>
        <v>1.2961946</v>
      </c>
      <c r="F23" s="283">
        <f>1263.24/1000*1.18</f>
        <v>1.4906231999999999</v>
      </c>
      <c r="G23" s="823">
        <f>F23*1.15</f>
        <v>1.7142166799999998</v>
      </c>
    </row>
    <row r="24" spans="1:8" s="336" customFormat="1">
      <c r="A24" s="323"/>
      <c r="B24" s="559" t="s">
        <v>134</v>
      </c>
      <c r="C24" s="537"/>
      <c r="D24" s="327"/>
      <c r="E24" s="327"/>
      <c r="F24" s="327"/>
      <c r="G24" s="328"/>
    </row>
    <row r="25" spans="1:8" s="336" customFormat="1">
      <c r="A25" s="323" t="s">
        <v>253</v>
      </c>
      <c r="B25" s="559" t="s">
        <v>454</v>
      </c>
      <c r="C25" s="817"/>
      <c r="D25" s="327"/>
      <c r="E25" s="327"/>
      <c r="F25" s="327"/>
      <c r="G25" s="328"/>
    </row>
    <row r="26" spans="1:8" s="336" customFormat="1">
      <c r="A26" s="323" t="s">
        <v>254</v>
      </c>
      <c r="B26" s="559" t="s">
        <v>455</v>
      </c>
      <c r="C26" s="818">
        <f>32.39/1000*1.18</f>
        <v>3.8220200000000003E-2</v>
      </c>
      <c r="D26" s="690">
        <f>37.21/1000*1.18</f>
        <v>4.3907799999999997E-2</v>
      </c>
      <c r="E26" s="690">
        <f>42.4/1000*1.18</f>
        <v>5.0032E-2</v>
      </c>
      <c r="F26" s="690">
        <f>48.27/1000*1.18</f>
        <v>5.6958599999999998E-2</v>
      </c>
      <c r="G26" s="824">
        <f>54.96*1.15</f>
        <v>63.203999999999994</v>
      </c>
    </row>
    <row r="27" spans="1:8" s="336" customFormat="1">
      <c r="A27" s="323" t="s">
        <v>265</v>
      </c>
      <c r="B27" s="559" t="s">
        <v>456</v>
      </c>
      <c r="C27" s="626">
        <v>0</v>
      </c>
      <c r="D27" s="627">
        <f>C27*1.044</f>
        <v>0</v>
      </c>
      <c r="E27" s="627">
        <f>D27*1.044</f>
        <v>0</v>
      </c>
      <c r="F27" s="627">
        <f>E27*1.044</f>
        <v>0</v>
      </c>
      <c r="G27" s="628">
        <f>F27*1.044</f>
        <v>0</v>
      </c>
    </row>
    <row r="28" spans="1:8" s="336" customFormat="1">
      <c r="A28" s="323" t="s">
        <v>280</v>
      </c>
      <c r="B28" s="559" t="s">
        <v>655</v>
      </c>
      <c r="C28" s="694">
        <f>735.57*1.18/1000</f>
        <v>0.86797260000000009</v>
      </c>
      <c r="D28" s="627">
        <f>845.91*1.18/1000</f>
        <v>0.99817379999999989</v>
      </c>
      <c r="E28" s="627">
        <f>963.06/1000*1.18</f>
        <v>1.1364107999999999</v>
      </c>
      <c r="F28" s="627">
        <f>1096.45/1000*1.18</f>
        <v>1.293811</v>
      </c>
      <c r="G28" s="628">
        <f>1421.2/1000*1.18</f>
        <v>1.6770159999999998</v>
      </c>
    </row>
    <row r="29" spans="1:8" s="336" customFormat="1">
      <c r="A29" s="287" t="s">
        <v>255</v>
      </c>
      <c r="B29" s="562" t="s">
        <v>127</v>
      </c>
      <c r="C29" s="623">
        <f>(7.19135+2.13175)*1.18</f>
        <v>11.001258</v>
      </c>
      <c r="D29" s="624">
        <f>(8.27+2.8118)*1.18</f>
        <v>13.076523999999999</v>
      </c>
      <c r="E29" s="624">
        <f>(2.21+7.453)</f>
        <v>9.6630000000000003</v>
      </c>
      <c r="F29" s="624">
        <f>(2284.09+7696)/1000</f>
        <v>9.9800900000000006</v>
      </c>
      <c r="G29" s="625">
        <f>F29*1.15</f>
        <v>11.4771035</v>
      </c>
    </row>
    <row r="30" spans="1:8" s="336" customFormat="1" ht="21" customHeight="1">
      <c r="A30" s="287" t="s">
        <v>128</v>
      </c>
      <c r="B30" s="562" t="s">
        <v>129</v>
      </c>
      <c r="C30" s="623">
        <v>0</v>
      </c>
      <c r="D30" s="624">
        <v>0</v>
      </c>
      <c r="E30" s="624">
        <f>4.86102*1.18</f>
        <v>5.7360035999999992</v>
      </c>
      <c r="F30" s="624">
        <f>9032.77/1000*1.18</f>
        <v>10.6586686</v>
      </c>
      <c r="G30" s="625">
        <f>9.496*1.18</f>
        <v>11.20528</v>
      </c>
      <c r="H30" s="612"/>
    </row>
    <row r="31" spans="1:8" s="336" customFormat="1">
      <c r="A31" s="287" t="s">
        <v>130</v>
      </c>
      <c r="B31" s="562" t="s">
        <v>139</v>
      </c>
      <c r="C31" s="623">
        <f>33.75/1000*1.18</f>
        <v>3.9824999999999999E-2</v>
      </c>
      <c r="D31" s="624">
        <f>521.86/1000*1.18</f>
        <v>0.61579479999999998</v>
      </c>
      <c r="E31" s="624">
        <f>650.02/1000*1.18</f>
        <v>0.76702359999999992</v>
      </c>
      <c r="F31" s="624">
        <f>758.38/1000*1.18</f>
        <v>0.89488839999999992</v>
      </c>
      <c r="G31" s="625">
        <f>837.25/1000*1.18</f>
        <v>0.98795500000000003</v>
      </c>
    </row>
    <row r="32" spans="1:8" s="336" customFormat="1">
      <c r="A32" s="287" t="s">
        <v>138</v>
      </c>
      <c r="B32" s="562" t="s">
        <v>131</v>
      </c>
      <c r="C32" s="635">
        <f>(0.11171+19.1732-0.79873)*1.18</f>
        <v>21.813692400000001</v>
      </c>
      <c r="D32" s="624">
        <f>138.94*1.18/1000+D35</f>
        <v>27.227249199999999</v>
      </c>
      <c r="E32" s="624">
        <f>159.78*1.18/1000+E35</f>
        <v>29.256660400000001</v>
      </c>
      <c r="F32" s="693">
        <f>183.75*1.18/1000+F35</f>
        <v>32.192464999999999</v>
      </c>
      <c r="G32" s="625">
        <f>F32*1.15</f>
        <v>37.021334749999994</v>
      </c>
    </row>
    <row r="33" spans="1:8" s="336" customFormat="1">
      <c r="A33" s="323"/>
      <c r="B33" s="559" t="s">
        <v>134</v>
      </c>
      <c r="C33" s="626"/>
      <c r="D33" s="627"/>
      <c r="E33" s="627"/>
      <c r="F33" s="627"/>
      <c r="G33" s="628"/>
    </row>
    <row r="34" spans="1:8" s="336" customFormat="1">
      <c r="A34" s="323" t="s">
        <v>263</v>
      </c>
      <c r="B34" s="559" t="s">
        <v>133</v>
      </c>
      <c r="C34" s="626">
        <v>0</v>
      </c>
      <c r="D34" s="627">
        <v>0</v>
      </c>
      <c r="E34" s="627">
        <v>0</v>
      </c>
      <c r="F34" s="627">
        <f t="shared" ref="F34:G34" si="1">+E34*1.054</f>
        <v>0</v>
      </c>
      <c r="G34" s="628">
        <f t="shared" si="1"/>
        <v>0</v>
      </c>
    </row>
    <row r="35" spans="1:8" s="336" customFormat="1">
      <c r="A35" s="323" t="s">
        <v>140</v>
      </c>
      <c r="B35" s="559" t="s">
        <v>148</v>
      </c>
      <c r="C35" s="537">
        <f>19.1732*1.18</f>
        <v>22.624376000000002</v>
      </c>
      <c r="D35" s="327">
        <f>22.935*1.18</f>
        <v>27.063299999999998</v>
      </c>
      <c r="E35" s="327">
        <f>24.634*1.18</f>
        <v>29.06812</v>
      </c>
      <c r="F35" s="327">
        <f>27.098*1.18</f>
        <v>31.975639999999999</v>
      </c>
      <c r="G35" s="328">
        <f>29.807*1.18</f>
        <v>35.172259999999994</v>
      </c>
    </row>
    <row r="36" spans="1:8" s="336" customFormat="1" ht="16.5" thickBot="1">
      <c r="A36" s="324" t="s">
        <v>246</v>
      </c>
      <c r="B36" s="560" t="s">
        <v>149</v>
      </c>
      <c r="C36" s="538"/>
      <c r="D36" s="329"/>
      <c r="E36" s="329"/>
      <c r="F36" s="329"/>
      <c r="G36" s="330"/>
    </row>
    <row r="37" spans="1:8" s="336" customFormat="1" ht="16.5" thickBot="1">
      <c r="A37" s="331" t="s">
        <v>437</v>
      </c>
      <c r="B37" s="563" t="s">
        <v>150</v>
      </c>
      <c r="C37" s="572">
        <f>C18-C22</f>
        <v>2.144071799999999</v>
      </c>
      <c r="D37" s="573">
        <f t="shared" ref="D37:E37" si="2">+D18-D22</f>
        <v>19.110347800000007</v>
      </c>
      <c r="E37" s="573">
        <f t="shared" si="2"/>
        <v>27.507837799999997</v>
      </c>
      <c r="F37" s="573">
        <f>+F18-F22</f>
        <v>28.847644799999998</v>
      </c>
      <c r="G37" s="574">
        <f>+G18-G22</f>
        <v>28.457650070000007</v>
      </c>
    </row>
    <row r="38" spans="1:8" s="336" customFormat="1">
      <c r="A38" s="320" t="s">
        <v>141</v>
      </c>
      <c r="B38" s="340" t="s">
        <v>94</v>
      </c>
      <c r="C38" s="533">
        <f>+C39-C43</f>
        <v>-0.45227039999999996</v>
      </c>
      <c r="D38" s="321">
        <f t="shared" ref="D38:E38" si="3">+D39-D43</f>
        <v>-2.8705918999999995</v>
      </c>
      <c r="E38" s="321">
        <f t="shared" si="3"/>
        <v>-7.9476056566499986</v>
      </c>
      <c r="F38" s="321">
        <f>+F39-F43</f>
        <v>-10.684107113299998</v>
      </c>
      <c r="G38" s="322">
        <f>+G39-G43</f>
        <v>-10.777480513299999</v>
      </c>
    </row>
    <row r="39" spans="1:8" s="336" customFormat="1">
      <c r="A39" s="323" t="s">
        <v>252</v>
      </c>
      <c r="B39" s="559" t="s">
        <v>95</v>
      </c>
      <c r="C39" s="537"/>
      <c r="D39" s="327"/>
      <c r="E39" s="327"/>
      <c r="F39" s="327"/>
      <c r="G39" s="328"/>
    </row>
    <row r="40" spans="1:8" s="336" customFormat="1">
      <c r="A40" s="323"/>
      <c r="B40" s="559" t="s">
        <v>132</v>
      </c>
      <c r="C40" s="537"/>
      <c r="D40" s="327"/>
      <c r="E40" s="327"/>
      <c r="F40" s="327"/>
      <c r="G40" s="328"/>
    </row>
    <row r="41" spans="1:8" s="336" customFormat="1" ht="31.5">
      <c r="A41" s="335"/>
      <c r="B41" s="559" t="s">
        <v>5</v>
      </c>
      <c r="C41" s="537"/>
      <c r="D41" s="327"/>
      <c r="E41" s="327"/>
      <c r="F41" s="327"/>
      <c r="G41" s="328"/>
    </row>
    <row r="42" spans="1:8" s="336" customFormat="1">
      <c r="A42" s="323" t="s">
        <v>254</v>
      </c>
      <c r="B42" s="564" t="s">
        <v>418</v>
      </c>
      <c r="C42" s="537"/>
      <c r="D42" s="327"/>
      <c r="E42" s="327"/>
      <c r="F42" s="327"/>
      <c r="G42" s="328"/>
    </row>
    <row r="43" spans="1:8" s="336" customFormat="1">
      <c r="A43" s="323" t="s">
        <v>255</v>
      </c>
      <c r="B43" s="559" t="s">
        <v>96</v>
      </c>
      <c r="C43" s="694">
        <f>0.38328*1.18+C45</f>
        <v>0.45227039999999996</v>
      </c>
      <c r="D43" s="627">
        <f>440.77*1.18/1000+D45</f>
        <v>2.8705918999999995</v>
      </c>
      <c r="E43" s="627">
        <f>501.82*1.18/1000+E45</f>
        <v>7.9476056566499986</v>
      </c>
      <c r="F43" s="627">
        <f>571.32/1000*1.18+F45</f>
        <v>10.684107113299998</v>
      </c>
      <c r="G43" s="695">
        <f>650.45/1000*1.18+G45</f>
        <v>10.777480513299999</v>
      </c>
    </row>
    <row r="44" spans="1:8" s="336" customFormat="1">
      <c r="A44" s="323"/>
      <c r="B44" s="559" t="s">
        <v>132</v>
      </c>
      <c r="C44" s="626"/>
      <c r="D44" s="627"/>
      <c r="E44" s="627"/>
      <c r="F44" s="627"/>
      <c r="G44" s="628"/>
    </row>
    <row r="45" spans="1:8" s="336" customFormat="1" ht="16.5" thickBot="1">
      <c r="A45" s="324" t="s">
        <v>256</v>
      </c>
      <c r="B45" s="560" t="s">
        <v>419</v>
      </c>
      <c r="C45" s="696"/>
      <c r="D45" s="697">
        <f>'приложение 4.2 '!K31</f>
        <v>2.3504832999999996</v>
      </c>
      <c r="E45" s="697">
        <f>'приложение 4.2 '!L31</f>
        <v>7.355458056649999</v>
      </c>
      <c r="F45" s="697">
        <f>'приложение 4.2 '!M31</f>
        <v>10.009949513299999</v>
      </c>
      <c r="G45" s="832">
        <f>'приложение 4.2 '!N31</f>
        <v>10.009949513299999</v>
      </c>
    </row>
    <row r="46" spans="1:8" s="336" customFormat="1" ht="16.5" thickBot="1">
      <c r="A46" s="332" t="s">
        <v>97</v>
      </c>
      <c r="B46" s="339" t="s">
        <v>98</v>
      </c>
      <c r="C46" s="825">
        <f>+C37+C38</f>
        <v>1.691801399999999</v>
      </c>
      <c r="D46" s="819">
        <f>+D37+D38</f>
        <v>16.239755900000006</v>
      </c>
      <c r="E46" s="819">
        <f>+E37+E38</f>
        <v>19.560232143349999</v>
      </c>
      <c r="F46" s="819">
        <f>+F37+F38</f>
        <v>18.1635376867</v>
      </c>
      <c r="G46" s="820">
        <f>+G37+G38</f>
        <v>17.680169556700008</v>
      </c>
    </row>
    <row r="47" spans="1:8" s="336" customFormat="1" ht="16.5" thickBot="1">
      <c r="A47" s="332" t="s">
        <v>99</v>
      </c>
      <c r="B47" s="339" t="s">
        <v>100</v>
      </c>
      <c r="C47" s="698">
        <f>521.86*1.18/1000</f>
        <v>0.61579479999999998</v>
      </c>
      <c r="D47" s="821">
        <f>521.86*1.18/1000</f>
        <v>0.61579479999999998</v>
      </c>
      <c r="E47" s="822">
        <f>650.02/1000*1.18</f>
        <v>0.76702359999999992</v>
      </c>
      <c r="F47" s="822">
        <f>758.38/1000*1.18</f>
        <v>0.89488839999999992</v>
      </c>
      <c r="G47" s="700">
        <f>837.25/1000*1.18</f>
        <v>0.98795500000000003</v>
      </c>
    </row>
    <row r="48" spans="1:8" s="336" customFormat="1" ht="16.5" thickBot="1">
      <c r="A48" s="332" t="s">
        <v>101</v>
      </c>
      <c r="B48" s="339" t="s">
        <v>102</v>
      </c>
      <c r="C48" s="663">
        <f>+C46-C47</f>
        <v>1.076006599999999</v>
      </c>
      <c r="D48" s="632">
        <f>+D46-D47</f>
        <v>15.623961100000006</v>
      </c>
      <c r="E48" s="632">
        <f t="shared" ref="E48" si="4">+E46-E47</f>
        <v>18.793208543349998</v>
      </c>
      <c r="F48" s="632">
        <f>+F46-F47</f>
        <v>17.268649286700001</v>
      </c>
      <c r="G48" s="633">
        <f>+G46-G47</f>
        <v>16.692214556700009</v>
      </c>
      <c r="H48" s="612"/>
    </row>
    <row r="49" spans="1:13" s="336" customFormat="1">
      <c r="A49" s="320" t="s">
        <v>103</v>
      </c>
      <c r="B49" s="340" t="s">
        <v>452</v>
      </c>
      <c r="C49" s="533"/>
      <c r="D49" s="321"/>
      <c r="E49" s="321"/>
      <c r="F49" s="321"/>
      <c r="G49" s="322"/>
    </row>
    <row r="50" spans="1:13" s="336" customFormat="1">
      <c r="A50" s="323"/>
      <c r="B50" s="559" t="s">
        <v>134</v>
      </c>
      <c r="C50" s="537"/>
      <c r="D50" s="327"/>
      <c r="E50" s="327"/>
      <c r="F50" s="327"/>
      <c r="G50" s="328"/>
    </row>
    <row r="51" spans="1:13" s="336" customFormat="1">
      <c r="A51" s="323" t="s">
        <v>252</v>
      </c>
      <c r="B51" s="559" t="s">
        <v>420</v>
      </c>
      <c r="C51" s="537"/>
      <c r="D51" s="327"/>
      <c r="E51" s="327"/>
      <c r="F51" s="327"/>
      <c r="G51" s="328"/>
      <c r="I51" s="336">
        <v>16</v>
      </c>
      <c r="J51" s="336">
        <v>17</v>
      </c>
      <c r="K51" s="336">
        <v>18</v>
      </c>
      <c r="L51" s="336">
        <v>19</v>
      </c>
      <c r="M51" s="336">
        <v>20</v>
      </c>
    </row>
    <row r="52" spans="1:13" s="336" customFormat="1">
      <c r="A52" s="335" t="s">
        <v>255</v>
      </c>
      <c r="B52" s="559" t="s">
        <v>421</v>
      </c>
      <c r="C52" s="617"/>
      <c r="D52" s="692"/>
      <c r="E52" s="692"/>
      <c r="F52" s="692"/>
      <c r="G52" s="701"/>
      <c r="I52" s="691">
        <f>C43+C22</f>
        <v>34.213238600000004</v>
      </c>
      <c r="J52" s="691">
        <f>D43+D22</f>
        <v>44.917284099999996</v>
      </c>
      <c r="K52" s="691">
        <f>E43+E22</f>
        <v>54.666487856650001</v>
      </c>
      <c r="L52" s="691">
        <f>F43+F22</f>
        <v>65.900842313300004</v>
      </c>
      <c r="M52" s="691">
        <f>G43+G22</f>
        <v>73.183370443299992</v>
      </c>
    </row>
    <row r="53" spans="1:13" s="336" customFormat="1">
      <c r="A53" s="323" t="s">
        <v>128</v>
      </c>
      <c r="B53" s="559" t="s">
        <v>422</v>
      </c>
      <c r="C53" s="83"/>
      <c r="D53" s="692"/>
      <c r="E53" s="692"/>
      <c r="F53" s="692"/>
      <c r="G53" s="701"/>
      <c r="I53" s="537">
        <f>2.145*1.18</f>
        <v>2.5310999999999999</v>
      </c>
      <c r="J53" s="327">
        <f>3.07488*1.18</f>
        <v>3.6283583999999998</v>
      </c>
      <c r="K53" s="327">
        <f>4.02844*1.18</f>
        <v>4.7535591999999998</v>
      </c>
      <c r="L53" s="327">
        <f>4.935*1.18</f>
        <v>5.8232999999999988</v>
      </c>
      <c r="M53" s="328"/>
    </row>
    <row r="54" spans="1:13" s="336" customFormat="1" ht="16.5" thickBot="1">
      <c r="A54" s="324" t="s">
        <v>130</v>
      </c>
      <c r="B54" s="560" t="s">
        <v>423</v>
      </c>
      <c r="C54" s="535"/>
      <c r="D54" s="285"/>
      <c r="E54" s="285"/>
      <c r="F54" s="285"/>
      <c r="G54" s="286"/>
      <c r="I54" s="612">
        <f>619.22/1000*1.18</f>
        <v>0.73067959999999998</v>
      </c>
      <c r="J54" s="612">
        <f>864.07/1000*1.18</f>
        <v>1.0196026</v>
      </c>
      <c r="K54" s="612">
        <f>1116.76/1000*1.18</f>
        <v>1.3177767999999999</v>
      </c>
      <c r="L54" s="612">
        <f>1360/1000*1.18</f>
        <v>1.6048</v>
      </c>
      <c r="M54" s="612">
        <f>L54*1.15</f>
        <v>1.8455199999999998</v>
      </c>
    </row>
    <row r="55" spans="1:13" s="336" customFormat="1">
      <c r="A55" s="320" t="s">
        <v>164</v>
      </c>
      <c r="B55" s="340" t="s">
        <v>427</v>
      </c>
      <c r="C55" s="533"/>
      <c r="D55" s="321"/>
      <c r="E55" s="321"/>
      <c r="F55" s="321"/>
      <c r="G55" s="322"/>
      <c r="I55" s="612">
        <f>I52+I53+I54</f>
        <v>37.475018200000008</v>
      </c>
      <c r="J55" s="612">
        <f t="shared" ref="J55:M55" si="5">J52+J53+J54</f>
        <v>49.565245099999999</v>
      </c>
      <c r="K55" s="612">
        <f t="shared" si="5"/>
        <v>60.737823856649996</v>
      </c>
      <c r="L55" s="612">
        <f t="shared" si="5"/>
        <v>73.328942313300004</v>
      </c>
      <c r="M55" s="612">
        <f t="shared" si="5"/>
        <v>75.028890443299986</v>
      </c>
    </row>
    <row r="56" spans="1:13" s="336" customFormat="1">
      <c r="A56" s="323" t="s">
        <v>252</v>
      </c>
      <c r="B56" s="613" t="s">
        <v>479</v>
      </c>
      <c r="C56" s="537"/>
      <c r="D56" s="327"/>
      <c r="E56" s="327"/>
      <c r="F56" s="327"/>
      <c r="G56" s="328"/>
    </row>
    <row r="57" spans="1:13" s="336" customFormat="1">
      <c r="A57" s="323" t="s">
        <v>255</v>
      </c>
      <c r="B57" s="559" t="s">
        <v>414</v>
      </c>
      <c r="C57" s="537"/>
      <c r="D57" s="327"/>
      <c r="E57" s="327"/>
      <c r="F57" s="327"/>
      <c r="G57" s="328"/>
      <c r="I57" s="336">
        <f>'[6]Расчёт расходов'!$AW$121/1000*1.18</f>
        <v>63.57918585038005</v>
      </c>
      <c r="J57" s="336">
        <f>'[6]Расчёт расходов'!$BC$120*1.18/1000</f>
        <v>68.317985999552135</v>
      </c>
      <c r="K57" s="336">
        <f>72.3713*1.18</f>
        <v>85.398133999999999</v>
      </c>
      <c r="L57" s="336">
        <f>84.638*1.18</f>
        <v>99.872839999999997</v>
      </c>
      <c r="M57" s="336">
        <f>L57*1.15</f>
        <v>114.85376599999999</v>
      </c>
    </row>
    <row r="58" spans="1:13" s="336" customFormat="1" ht="16.5" thickBot="1">
      <c r="A58" s="324"/>
      <c r="B58" s="560" t="s">
        <v>415</v>
      </c>
      <c r="C58" s="538"/>
      <c r="D58" s="329"/>
      <c r="E58" s="329"/>
      <c r="F58" s="329"/>
      <c r="G58" s="330"/>
      <c r="I58" s="336">
        <f>42.555*1.18</f>
        <v>50.2149</v>
      </c>
    </row>
    <row r="59" spans="1:13" s="336" customFormat="1">
      <c r="A59" s="320" t="s">
        <v>105</v>
      </c>
      <c r="B59" s="340" t="s">
        <v>451</v>
      </c>
      <c r="C59" s="533"/>
      <c r="D59" s="321"/>
      <c r="E59" s="321"/>
      <c r="F59" s="321"/>
      <c r="G59" s="322"/>
    </row>
    <row r="60" spans="1:13" s="336" customFormat="1">
      <c r="A60" s="323" t="s">
        <v>252</v>
      </c>
      <c r="B60" s="613" t="s">
        <v>416</v>
      </c>
      <c r="C60" s="537"/>
      <c r="D60" s="327"/>
      <c r="E60" s="327"/>
      <c r="F60" s="327"/>
      <c r="G60" s="328"/>
      <c r="J60" s="612">
        <f>J54+J53</f>
        <v>4.6479609999999996</v>
      </c>
      <c r="K60" s="612">
        <f t="shared" ref="K60:M60" si="6">K54+K53</f>
        <v>6.0713359999999996</v>
      </c>
      <c r="L60" s="612">
        <f t="shared" si="6"/>
        <v>7.4280999999999988</v>
      </c>
      <c r="M60" s="612">
        <f t="shared" si="6"/>
        <v>1.8455199999999998</v>
      </c>
    </row>
    <row r="61" spans="1:13" s="336" customFormat="1">
      <c r="A61" s="323" t="s">
        <v>255</v>
      </c>
      <c r="B61" s="559" t="s">
        <v>417</v>
      </c>
      <c r="C61" s="537"/>
      <c r="D61" s="327"/>
      <c r="E61" s="327"/>
      <c r="F61" s="327"/>
      <c r="G61" s="328"/>
    </row>
    <row r="62" spans="1:13" s="336" customFormat="1" ht="16.5" thickBot="1">
      <c r="A62" s="324"/>
      <c r="B62" s="560" t="s">
        <v>415</v>
      </c>
      <c r="C62" s="538"/>
      <c r="D62" s="329"/>
      <c r="E62" s="329"/>
      <c r="F62" s="329"/>
      <c r="G62" s="330"/>
    </row>
    <row r="63" spans="1:13" s="336" customFormat="1">
      <c r="A63" s="320" t="s">
        <v>108</v>
      </c>
      <c r="B63" s="340" t="s">
        <v>106</v>
      </c>
      <c r="C63" s="536">
        <f t="shared" ref="C63:E63" si="7">+C65+C67</f>
        <v>9.9807620000000004</v>
      </c>
      <c r="D63" s="325">
        <f t="shared" si="7"/>
        <v>42.736059999999995</v>
      </c>
      <c r="E63" s="325">
        <f t="shared" si="7"/>
        <v>48.263481030000001</v>
      </c>
      <c r="F63" s="325">
        <f>+F65+F67</f>
        <v>43.663936034999999</v>
      </c>
      <c r="G63" s="326">
        <f>+G65+G67</f>
        <v>0</v>
      </c>
      <c r="H63" s="612"/>
    </row>
    <row r="64" spans="1:13" s="336" customFormat="1">
      <c r="A64" s="287"/>
      <c r="B64" s="559" t="s">
        <v>107</v>
      </c>
      <c r="C64" s="537"/>
      <c r="D64" s="327"/>
      <c r="E64" s="327"/>
      <c r="F64" s="327"/>
      <c r="G64" s="328"/>
    </row>
    <row r="65" spans="1:8" s="336" customFormat="1">
      <c r="A65" s="323" t="s">
        <v>252</v>
      </c>
      <c r="B65" s="559" t="s">
        <v>424</v>
      </c>
      <c r="C65" s="817">
        <f>'приложение 4.2 '!C31</f>
        <v>9.9807620000000004</v>
      </c>
      <c r="D65" s="327">
        <f>'приложение 4.2 '!D31</f>
        <v>42.736059999999995</v>
      </c>
      <c r="E65" s="327">
        <f>'приложение 4.2 '!E31</f>
        <v>48.263481030000001</v>
      </c>
      <c r="F65" s="327">
        <f>'приложение 4.2 '!F31</f>
        <v>43.663936034999999</v>
      </c>
      <c r="G65" s="327">
        <f>'приложение 4.2 '!G31</f>
        <v>0</v>
      </c>
    </row>
    <row r="66" spans="1:8" s="336" customFormat="1">
      <c r="A66" s="323" t="s">
        <v>253</v>
      </c>
      <c r="B66" s="559" t="s">
        <v>115</v>
      </c>
      <c r="C66" s="534"/>
      <c r="D66" s="283"/>
      <c r="E66" s="283"/>
      <c r="F66" s="283"/>
      <c r="G66" s="284"/>
    </row>
    <row r="67" spans="1:8" s="336" customFormat="1" ht="16.5" thickBot="1">
      <c r="A67" s="324" t="s">
        <v>255</v>
      </c>
      <c r="B67" s="560" t="s">
        <v>425</v>
      </c>
      <c r="C67" s="570">
        <v>0</v>
      </c>
      <c r="D67" s="571">
        <v>0</v>
      </c>
      <c r="E67" s="571">
        <v>0</v>
      </c>
      <c r="F67" s="571">
        <v>0</v>
      </c>
      <c r="G67" s="614">
        <v>0</v>
      </c>
    </row>
    <row r="68" spans="1:8" s="336" customFormat="1">
      <c r="A68" s="320" t="s">
        <v>110</v>
      </c>
      <c r="B68" s="340" t="s">
        <v>109</v>
      </c>
      <c r="C68" s="539"/>
      <c r="D68" s="337"/>
      <c r="E68" s="337"/>
      <c r="F68" s="337"/>
      <c r="G68" s="615"/>
    </row>
    <row r="69" spans="1:8" s="336" customFormat="1">
      <c r="A69" s="287"/>
      <c r="B69" s="559" t="s">
        <v>167</v>
      </c>
      <c r="C69" s="537"/>
      <c r="D69" s="327"/>
      <c r="E69" s="327"/>
      <c r="F69" s="327"/>
      <c r="G69" s="328"/>
    </row>
    <row r="70" spans="1:8" s="336" customFormat="1">
      <c r="A70" s="323" t="s">
        <v>252</v>
      </c>
      <c r="B70" s="559" t="s">
        <v>426</v>
      </c>
      <c r="C70" s="534"/>
      <c r="D70" s="283"/>
      <c r="E70" s="283"/>
      <c r="F70" s="283"/>
      <c r="G70" s="284"/>
    </row>
    <row r="71" spans="1:8" s="336" customFormat="1">
      <c r="A71" s="323" t="s">
        <v>253</v>
      </c>
      <c r="B71" s="559" t="s">
        <v>115</v>
      </c>
      <c r="C71" s="534"/>
      <c r="D71" s="283"/>
      <c r="E71" s="283"/>
      <c r="F71" s="283"/>
      <c r="G71" s="284"/>
    </row>
    <row r="72" spans="1:8" s="336" customFormat="1" ht="16.5" thickBot="1">
      <c r="A72" s="324" t="s">
        <v>255</v>
      </c>
      <c r="B72" s="560" t="s">
        <v>425</v>
      </c>
      <c r="C72" s="535"/>
      <c r="D72" s="285"/>
      <c r="E72" s="285"/>
      <c r="F72" s="285"/>
      <c r="G72" s="286"/>
    </row>
    <row r="73" spans="1:8" s="336" customFormat="1" ht="16.5" thickBot="1">
      <c r="A73" s="338" t="s">
        <v>111</v>
      </c>
      <c r="B73" s="565" t="s">
        <v>166</v>
      </c>
      <c r="C73" s="572"/>
      <c r="D73" s="573"/>
      <c r="E73" s="573"/>
      <c r="F73" s="573"/>
      <c r="G73" s="574"/>
    </row>
    <row r="74" spans="1:8" s="336" customFormat="1">
      <c r="A74" s="320" t="s">
        <v>112</v>
      </c>
      <c r="B74" s="340" t="s">
        <v>429</v>
      </c>
      <c r="C74" s="533"/>
      <c r="D74" s="321"/>
      <c r="E74" s="321"/>
      <c r="F74" s="321"/>
      <c r="G74" s="322"/>
    </row>
    <row r="75" spans="1:8" s="336" customFormat="1">
      <c r="A75" s="323" t="s">
        <v>252</v>
      </c>
      <c r="B75" s="559" t="s">
        <v>430</v>
      </c>
      <c r="C75" s="537"/>
      <c r="D75" s="327"/>
      <c r="E75" s="327"/>
      <c r="F75" s="327"/>
      <c r="G75" s="328"/>
    </row>
    <row r="76" spans="1:8" s="336" customFormat="1" ht="16.5" thickBot="1">
      <c r="A76" s="324" t="s">
        <v>255</v>
      </c>
      <c r="B76" s="560" t="s">
        <v>445</v>
      </c>
      <c r="C76" s="538"/>
      <c r="D76" s="329"/>
      <c r="E76" s="329"/>
      <c r="F76" s="329"/>
      <c r="G76" s="330"/>
    </row>
    <row r="77" spans="1:8" s="336" customFormat="1" ht="16.5" thickBot="1">
      <c r="A77" s="338" t="s">
        <v>151</v>
      </c>
      <c r="B77" s="565" t="s">
        <v>448</v>
      </c>
      <c r="C77" s="575"/>
      <c r="D77" s="576"/>
      <c r="E77" s="576"/>
      <c r="F77" s="576"/>
      <c r="G77" s="616"/>
    </row>
    <row r="78" spans="1:8" s="336" customFormat="1">
      <c r="A78" s="320" t="s">
        <v>152</v>
      </c>
      <c r="B78" s="340" t="s">
        <v>165</v>
      </c>
      <c r="C78" s="593">
        <f>'приложение 1.1 '!W20</f>
        <v>11.366082</v>
      </c>
      <c r="D78" s="593">
        <f>'приложение 1.1 '!X20</f>
        <v>44.750319999999995</v>
      </c>
      <c r="E78" s="593">
        <f>'приложение 1.1 '!Y20</f>
        <v>57.067484629999996</v>
      </c>
      <c r="F78" s="593">
        <f>'приложение 1.1 '!Z20</f>
        <v>57.901544635</v>
      </c>
      <c r="G78" s="593">
        <f>'приложение 1.1 '!AA20</f>
        <v>3.0090000000000003</v>
      </c>
      <c r="H78" s="612"/>
    </row>
    <row r="79" spans="1:8" s="336" customFormat="1" ht="16.5" thickBot="1">
      <c r="A79" s="288"/>
      <c r="B79" s="560" t="s">
        <v>115</v>
      </c>
      <c r="C79" s="535"/>
      <c r="D79" s="285"/>
      <c r="E79" s="285"/>
      <c r="F79" s="285"/>
      <c r="G79" s="286"/>
    </row>
    <row r="80" spans="1:8" s="336" customFormat="1" ht="48" thickBot="1">
      <c r="A80" s="332" t="s">
        <v>152</v>
      </c>
      <c r="B80" s="339" t="s">
        <v>59</v>
      </c>
      <c r="C80" s="540">
        <f>+C18+C39+C57+C60+C63+C73+C76+C77</f>
        <v>45.885801999999998</v>
      </c>
      <c r="D80" s="333">
        <f t="shared" ref="D80:E80" si="8">+D18+D39+D57+D60+D63+D73+D76+D77</f>
        <v>103.8931</v>
      </c>
      <c r="E80" s="333">
        <f t="shared" si="8"/>
        <v>122.49020103000001</v>
      </c>
      <c r="F80" s="333">
        <f>+F18+F39+F57+F60+F63+F73+F76+F77</f>
        <v>127.72831603500001</v>
      </c>
      <c r="G80" s="334">
        <f>+G18+G39+G57+G60+G63+G73+G76+G77</f>
        <v>90.86354</v>
      </c>
    </row>
    <row r="81" spans="1:7" s="336" customFormat="1" ht="48" thickBot="1">
      <c r="A81" s="332" t="s">
        <v>153</v>
      </c>
      <c r="B81" s="339" t="s">
        <v>398</v>
      </c>
      <c r="C81" s="663">
        <f>+C22-C30+C43+C56+C61+C47+C49+C68+C75+C78</f>
        <v>46.195115400000006</v>
      </c>
      <c r="D81" s="664">
        <f t="shared" ref="D81:E81" si="9">+D22-D30+D43+D56+D61+D47+D49+D68+D75+D78</f>
        <v>90.283398899999995</v>
      </c>
      <c r="E81" s="664">
        <f t="shared" si="9"/>
        <v>106.76499248665</v>
      </c>
      <c r="F81" s="664">
        <f>+F22-F30+F43+F56+F61+F47+F49+F68+F75+F78</f>
        <v>114.0386067483</v>
      </c>
      <c r="G81" s="665">
        <f>+G22-G30+G43+G56+G61+G47+G49+G68+G75+G78</f>
        <v>65.97504544329999</v>
      </c>
    </row>
    <row r="82" spans="1:7" s="336" customFormat="1" ht="32.25" thickBot="1">
      <c r="A82" s="629"/>
      <c r="B82" s="630" t="s">
        <v>453</v>
      </c>
      <c r="C82" s="631">
        <f t="shared" ref="C82:E82" si="10">+C80-C81</f>
        <v>-0.30931340000000773</v>
      </c>
      <c r="D82" s="632">
        <f t="shared" si="10"/>
        <v>13.609701100000009</v>
      </c>
      <c r="E82" s="632">
        <f t="shared" si="10"/>
        <v>15.725208543350007</v>
      </c>
      <c r="F82" s="632">
        <f>+F80-F81</f>
        <v>13.689709286700008</v>
      </c>
      <c r="G82" s="633">
        <f>+G80-G81</f>
        <v>24.88849455670001</v>
      </c>
    </row>
    <row r="83" spans="1:7" s="336" customFormat="1" ht="16.5" thickBot="1">
      <c r="A83" s="341"/>
      <c r="B83" s="342"/>
      <c r="C83" s="566"/>
      <c r="D83" s="566"/>
      <c r="E83" s="566"/>
      <c r="F83" s="566"/>
      <c r="G83" s="566"/>
    </row>
    <row r="84" spans="1:7" s="336" customFormat="1">
      <c r="A84" s="343"/>
      <c r="B84" s="340" t="s">
        <v>113</v>
      </c>
      <c r="C84" s="539"/>
      <c r="D84" s="337"/>
      <c r="E84" s="337"/>
      <c r="F84" s="337"/>
      <c r="G84" s="615"/>
    </row>
    <row r="85" spans="1:7" s="336" customFormat="1">
      <c r="A85" s="323" t="s">
        <v>252</v>
      </c>
      <c r="B85" s="559" t="s">
        <v>114</v>
      </c>
      <c r="C85" s="617">
        <f>+C48+C47+C45-C42+C30</f>
        <v>1.691801399999999</v>
      </c>
      <c r="D85" s="618">
        <f t="shared" ref="D85:E85" si="11">+D48+D47+D45-D42+D30</f>
        <v>18.590239200000006</v>
      </c>
      <c r="E85" s="618">
        <f t="shared" si="11"/>
        <v>32.651693799999997</v>
      </c>
      <c r="F85" s="618">
        <f>+F48+F47+F45-F42+F30</f>
        <v>38.832155799999995</v>
      </c>
      <c r="G85" s="619">
        <f>+G48+G47+G45-G42+G30</f>
        <v>38.895399070000011</v>
      </c>
    </row>
    <row r="86" spans="1:7" s="336" customFormat="1">
      <c r="A86" s="323" t="s">
        <v>255</v>
      </c>
      <c r="B86" s="559" t="s">
        <v>116</v>
      </c>
      <c r="C86" s="617"/>
      <c r="D86" s="618"/>
      <c r="E86" s="618"/>
      <c r="F86" s="618"/>
      <c r="G86" s="619"/>
    </row>
    <row r="87" spans="1:7" s="336" customFormat="1" ht="16.5" thickBot="1">
      <c r="A87" s="324" t="s">
        <v>128</v>
      </c>
      <c r="B87" s="560" t="s">
        <v>329</v>
      </c>
      <c r="C87" s="620"/>
      <c r="D87" s="621"/>
      <c r="E87" s="621"/>
      <c r="F87" s="621"/>
      <c r="G87" s="622"/>
    </row>
    <row r="89" spans="1:7">
      <c r="A89" s="611" t="s">
        <v>117</v>
      </c>
    </row>
  </sheetData>
  <customSheetViews>
    <customSheetView guid="{8313A758-6764-4FAF-B5C3-0AC63E11C07D}" scale="75" showPageBreaks="1" view="pageBreakPreview" topLeftCell="A52">
      <selection activeCell="A7" sqref="A7:XFD7"/>
      <pageMargins left="0.70866141732283472" right="0.31496062992125984" top="0.74803149606299213" bottom="0.59055118110236227" header="0.31496062992125984" footer="0.31496062992125984"/>
      <pageSetup paperSize="9" scale="60" fitToHeight="3" orientation="portrait" r:id="rId1"/>
      <headerFooter alignWithMargins="0">
        <oddFooter>&amp;R&amp;P</oddFooter>
      </headerFooter>
    </customSheetView>
    <customSheetView guid="{39750778-B4CA-4A61-A93E-2C57443220F3}" scale="75" showPageBreaks="1" fitToPage="1" printArea="1" view="pageBreakPreview">
      <selection sqref="A1:XFD1048576"/>
      <pageMargins left="0.70866141732283472" right="0.31496062992125984" top="0.74803149606299213" bottom="0.59055118110236227" header="0.31496062992125984" footer="0.31496062992125984"/>
      <pageSetup paperSize="9" scale="72" fitToHeight="0" orientation="portrait" r:id="rId2"/>
      <headerFooter alignWithMargins="0">
        <oddFooter>&amp;R&amp;P</oddFooter>
      </headerFooter>
    </customSheetView>
  </customSheetViews>
  <mergeCells count="8">
    <mergeCell ref="A6:G6"/>
    <mergeCell ref="F15:F16"/>
    <mergeCell ref="G15:G16"/>
    <mergeCell ref="A14:A16"/>
    <mergeCell ref="B14:B16"/>
    <mergeCell ref="C15:C16"/>
    <mergeCell ref="D15:D16"/>
    <mergeCell ref="E15:E16"/>
  </mergeCells>
  <phoneticPr fontId="0" type="noConversion"/>
  <pageMargins left="0.70866141732283472" right="0.31496062992125984" top="0.74803149606299213" bottom="0.59055118110236227" header="0.31496062992125984" footer="0.31496062992125984"/>
  <pageSetup paperSize="9" scale="72" fitToHeight="0" orientation="portrait" r:id="rId3"/>
  <headerFooter alignWithMargins="0">
    <oddFooter>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3"/>
  <sheetViews>
    <sheetView showZeros="0" view="pageBreakPreview" zoomScale="80" zoomScaleNormal="100" zoomScaleSheetLayoutView="80" workbookViewId="0">
      <selection activeCell="E37" sqref="E37"/>
    </sheetView>
  </sheetViews>
  <sheetFormatPr defaultRowHeight="15.75"/>
  <cols>
    <col min="1" max="1" width="9" style="303"/>
    <col min="2" max="2" width="42.875" style="303" customWidth="1"/>
    <col min="3" max="7" width="9" style="303"/>
    <col min="8" max="8" width="10.125" style="303" customWidth="1"/>
    <col min="9" max="9" width="10" style="303" customWidth="1"/>
    <col min="10" max="15" width="9" style="303" hidden="1" customWidth="1"/>
    <col min="16" max="16384" width="9" style="303"/>
  </cols>
  <sheetData>
    <row r="1" spans="1:13">
      <c r="H1" s="294" t="s">
        <v>216</v>
      </c>
    </row>
    <row r="2" spans="1:13">
      <c r="H2" s="294" t="s">
        <v>433</v>
      </c>
    </row>
    <row r="3" spans="1:13">
      <c r="H3" s="294" t="s">
        <v>178</v>
      </c>
    </row>
    <row r="5" spans="1:13" s="305" customFormat="1" ht="56.25" customHeight="1">
      <c r="A5" s="955" t="s">
        <v>177</v>
      </c>
      <c r="B5" s="955"/>
      <c r="C5" s="955"/>
      <c r="D5" s="955"/>
      <c r="E5" s="955"/>
      <c r="F5" s="955"/>
      <c r="G5" s="955"/>
      <c r="H5" s="955"/>
    </row>
    <row r="6" spans="1:13" s="305" customFormat="1" ht="30" customHeight="1">
      <c r="A6" s="304"/>
      <c r="B6" s="304"/>
      <c r="C6" s="304"/>
      <c r="D6" s="304"/>
      <c r="E6" s="304"/>
      <c r="F6" s="304"/>
      <c r="G6" s="304"/>
      <c r="H6" s="304"/>
    </row>
    <row r="7" spans="1:13">
      <c r="H7" s="294" t="s">
        <v>434</v>
      </c>
    </row>
    <row r="8" spans="1:13">
      <c r="H8" s="294" t="s">
        <v>615</v>
      </c>
    </row>
    <row r="9" spans="1:13">
      <c r="H9" s="306" t="s">
        <v>624</v>
      </c>
    </row>
    <row r="10" spans="1:13">
      <c r="C10" s="53"/>
      <c r="H10" s="294" t="s">
        <v>676</v>
      </c>
    </row>
    <row r="11" spans="1:13">
      <c r="C11" s="53"/>
      <c r="H11" s="294" t="s">
        <v>173</v>
      </c>
    </row>
    <row r="12" spans="1:13" ht="16.5" thickBot="1">
      <c r="A12" s="307"/>
      <c r="C12" s="53"/>
    </row>
    <row r="13" spans="1:13" ht="48" customHeight="1" thickBot="1">
      <c r="A13" s="645" t="s">
        <v>266</v>
      </c>
      <c r="B13" s="646" t="s">
        <v>267</v>
      </c>
      <c r="C13" s="826">
        <v>2016</v>
      </c>
      <c r="D13" s="647">
        <f>C13+1</f>
        <v>2017</v>
      </c>
      <c r="E13" s="647">
        <f>D13+1</f>
        <v>2018</v>
      </c>
      <c r="F13" s="647">
        <f>E13+1</f>
        <v>2019</v>
      </c>
      <c r="G13" s="647">
        <f>F13+1</f>
        <v>2020</v>
      </c>
      <c r="H13" s="648" t="s">
        <v>82</v>
      </c>
    </row>
    <row r="14" spans="1:13" ht="17.25" customHeight="1">
      <c r="A14" s="641">
        <v>1</v>
      </c>
      <c r="B14" s="642">
        <v>2</v>
      </c>
      <c r="C14" s="827">
        <v>3</v>
      </c>
      <c r="D14" s="643">
        <v>4</v>
      </c>
      <c r="E14" s="643">
        <v>5</v>
      </c>
      <c r="F14" s="643">
        <v>6</v>
      </c>
      <c r="G14" s="643">
        <v>7</v>
      </c>
      <c r="H14" s="644">
        <v>8</v>
      </c>
    </row>
    <row r="15" spans="1:13">
      <c r="A15" s="601">
        <v>1</v>
      </c>
      <c r="B15" s="311" t="s">
        <v>275</v>
      </c>
      <c r="C15" s="828">
        <f t="shared" ref="C15:H15" si="0">+C16+C23</f>
        <v>1.3853199999999999</v>
      </c>
      <c r="D15" s="578">
        <f t="shared" si="0"/>
        <v>2.0142600000000002</v>
      </c>
      <c r="E15" s="578">
        <f t="shared" si="0"/>
        <v>8.8040035999999997</v>
      </c>
      <c r="F15" s="578">
        <f t="shared" si="0"/>
        <v>14.2376086</v>
      </c>
      <c r="G15" s="578">
        <f t="shared" si="0"/>
        <v>3.0090000000000003</v>
      </c>
      <c r="H15" s="638">
        <f t="shared" si="0"/>
        <v>29.450192199999996</v>
      </c>
    </row>
    <row r="16" spans="1:13">
      <c r="A16" s="323" t="s">
        <v>253</v>
      </c>
      <c r="B16" s="311" t="s">
        <v>276</v>
      </c>
      <c r="C16" s="829">
        <f>C17</f>
        <v>1.3853199999999999</v>
      </c>
      <c r="D16" s="829">
        <f t="shared" ref="D16:G16" si="1">D17</f>
        <v>2.0142600000000002</v>
      </c>
      <c r="E16" s="829">
        <f t="shared" si="1"/>
        <v>3.0680000000000001</v>
      </c>
      <c r="F16" s="829">
        <f t="shared" si="1"/>
        <v>3.5789399999999998</v>
      </c>
      <c r="G16" s="829">
        <f t="shared" si="1"/>
        <v>0</v>
      </c>
      <c r="H16" s="639">
        <f>SUM(C16:G16)</f>
        <v>10.046519999999999</v>
      </c>
      <c r="I16" s="594"/>
      <c r="J16" s="594"/>
      <c r="K16" s="594"/>
      <c r="L16" s="594"/>
      <c r="M16" s="594"/>
    </row>
    <row r="17" spans="1:14">
      <c r="A17" s="323" t="s">
        <v>277</v>
      </c>
      <c r="B17" s="311" t="s">
        <v>87</v>
      </c>
      <c r="C17" s="829">
        <f>1.174*1.18</f>
        <v>1.3853199999999999</v>
      </c>
      <c r="D17" s="579">
        <f>1.707*1.18</f>
        <v>2.0142600000000002</v>
      </c>
      <c r="E17" s="579">
        <f>2.6*1.18</f>
        <v>3.0680000000000001</v>
      </c>
      <c r="F17" s="579">
        <f>3.033*1.18</f>
        <v>3.5789399999999998</v>
      </c>
      <c r="G17" s="579"/>
      <c r="H17" s="639">
        <f>SUM(C17:G17)</f>
        <v>10.046519999999999</v>
      </c>
    </row>
    <row r="18" spans="1:14">
      <c r="A18" s="323" t="s">
        <v>80</v>
      </c>
      <c r="B18" s="311" t="s">
        <v>88</v>
      </c>
      <c r="C18" s="829"/>
      <c r="D18" s="579"/>
      <c r="E18" s="579"/>
      <c r="F18" s="580"/>
      <c r="G18" s="580"/>
      <c r="H18" s="639"/>
    </row>
    <row r="19" spans="1:14" ht="31.5">
      <c r="A19" s="323" t="s">
        <v>84</v>
      </c>
      <c r="B19" s="311" t="s">
        <v>51</v>
      </c>
      <c r="C19" s="579"/>
      <c r="D19" s="579"/>
      <c r="E19" s="579"/>
      <c r="F19" s="580"/>
      <c r="G19" s="580"/>
      <c r="H19" s="639"/>
    </row>
    <row r="20" spans="1:14" ht="31.5">
      <c r="A20" s="323" t="s">
        <v>85</v>
      </c>
      <c r="B20" s="311" t="s">
        <v>52</v>
      </c>
      <c r="C20" s="579">
        <f>+C21</f>
        <v>0</v>
      </c>
      <c r="D20" s="579"/>
      <c r="E20" s="579"/>
      <c r="F20" s="580"/>
      <c r="G20" s="580"/>
      <c r="H20" s="639"/>
    </row>
    <row r="21" spans="1:14" ht="31.5">
      <c r="A21" s="323" t="s">
        <v>86</v>
      </c>
      <c r="B21" s="311" t="s">
        <v>465</v>
      </c>
      <c r="C21" s="579"/>
      <c r="D21" s="579"/>
      <c r="E21" s="579"/>
      <c r="F21" s="580"/>
      <c r="G21" s="580"/>
      <c r="H21" s="639"/>
    </row>
    <row r="22" spans="1:14">
      <c r="A22" s="323" t="s">
        <v>331</v>
      </c>
      <c r="B22" s="311" t="s">
        <v>184</v>
      </c>
      <c r="C22" s="579"/>
      <c r="D22" s="579"/>
      <c r="E22" s="579"/>
      <c r="F22" s="580"/>
      <c r="G22" s="580"/>
      <c r="H22" s="639"/>
    </row>
    <row r="23" spans="1:14">
      <c r="A23" s="323" t="s">
        <v>254</v>
      </c>
      <c r="B23" s="311" t="s">
        <v>278</v>
      </c>
      <c r="C23" s="579">
        <v>0</v>
      </c>
      <c r="D23" s="579">
        <f>D24</f>
        <v>0</v>
      </c>
      <c r="E23" s="579">
        <f>E24</f>
        <v>5.7360035999999992</v>
      </c>
      <c r="F23" s="579">
        <f t="shared" ref="F23:G23" si="2">F24</f>
        <v>10.6586686</v>
      </c>
      <c r="G23" s="579">
        <f t="shared" si="2"/>
        <v>3.0090000000000003</v>
      </c>
      <c r="H23" s="639">
        <f>SUM(C23:G23)</f>
        <v>19.403672199999999</v>
      </c>
    </row>
    <row r="24" spans="1:14">
      <c r="A24" s="323" t="s">
        <v>185</v>
      </c>
      <c r="B24" s="311" t="s">
        <v>188</v>
      </c>
      <c r="C24" s="579">
        <v>0</v>
      </c>
      <c r="D24" s="579">
        <f>'приложение 4.1 '!D30</f>
        <v>0</v>
      </c>
      <c r="E24" s="579">
        <f>'приложение 4.1 '!E30</f>
        <v>5.7360035999999992</v>
      </c>
      <c r="F24" s="579">
        <f>'приложение 4.1 '!F30</f>
        <v>10.6586686</v>
      </c>
      <c r="G24" s="579">
        <f>G39</f>
        <v>3.0090000000000003</v>
      </c>
      <c r="H24" s="639">
        <f>+H23</f>
        <v>19.403672199999999</v>
      </c>
    </row>
    <row r="25" spans="1:14">
      <c r="A25" s="323" t="s">
        <v>186</v>
      </c>
      <c r="B25" s="311" t="s">
        <v>189</v>
      </c>
      <c r="C25" s="579"/>
      <c r="D25" s="579"/>
      <c r="E25" s="579"/>
      <c r="F25" s="580"/>
      <c r="G25" s="580"/>
      <c r="H25" s="639"/>
    </row>
    <row r="26" spans="1:14" ht="31.5">
      <c r="A26" s="323" t="s">
        <v>187</v>
      </c>
      <c r="B26" s="311" t="s">
        <v>190</v>
      </c>
      <c r="C26" s="579"/>
      <c r="D26" s="579"/>
      <c r="E26" s="579"/>
      <c r="F26" s="580"/>
      <c r="G26" s="580"/>
      <c r="H26" s="639"/>
    </row>
    <row r="27" spans="1:14">
      <c r="A27" s="323" t="s">
        <v>265</v>
      </c>
      <c r="B27" s="311" t="s">
        <v>279</v>
      </c>
      <c r="C27" s="579"/>
      <c r="D27" s="579"/>
      <c r="E27" s="579"/>
      <c r="F27" s="580"/>
      <c r="G27" s="580"/>
      <c r="H27" s="639"/>
    </row>
    <row r="28" spans="1:14">
      <c r="A28" s="323" t="s">
        <v>280</v>
      </c>
      <c r="B28" s="311" t="s">
        <v>281</v>
      </c>
      <c r="C28" s="579"/>
      <c r="D28" s="579"/>
      <c r="E28" s="579"/>
      <c r="F28" s="580"/>
      <c r="G28" s="580"/>
      <c r="H28" s="639"/>
    </row>
    <row r="29" spans="1:14">
      <c r="A29" s="323" t="s">
        <v>282</v>
      </c>
      <c r="B29" s="311" t="s">
        <v>466</v>
      </c>
      <c r="C29" s="579"/>
      <c r="D29" s="579"/>
      <c r="E29" s="579"/>
      <c r="F29" s="580"/>
      <c r="G29" s="580"/>
      <c r="H29" s="639"/>
    </row>
    <row r="30" spans="1:14">
      <c r="A30" s="323" t="s">
        <v>459</v>
      </c>
      <c r="B30" s="311" t="s">
        <v>330</v>
      </c>
      <c r="C30" s="579"/>
      <c r="D30" s="579"/>
      <c r="E30" s="579"/>
      <c r="F30" s="580"/>
      <c r="G30" s="580"/>
      <c r="H30" s="639"/>
      <c r="J30" s="303">
        <v>2016</v>
      </c>
      <c r="K30" s="611">
        <v>2017</v>
      </c>
      <c r="L30" s="611">
        <v>2018</v>
      </c>
      <c r="M30" s="611">
        <v>2019</v>
      </c>
      <c r="N30" s="611">
        <v>2020</v>
      </c>
    </row>
    <row r="31" spans="1:14">
      <c r="A31" s="323" t="s">
        <v>255</v>
      </c>
      <c r="B31" s="311" t="s">
        <v>467</v>
      </c>
      <c r="C31" s="579">
        <f>C32+C38</f>
        <v>9.9807620000000004</v>
      </c>
      <c r="D31" s="579">
        <f t="shared" ref="D31:G31" si="3">D32</f>
        <v>42.736059999999995</v>
      </c>
      <c r="E31" s="579">
        <f t="shared" si="3"/>
        <v>48.263481030000001</v>
      </c>
      <c r="F31" s="579">
        <f t="shared" si="3"/>
        <v>43.663936034999999</v>
      </c>
      <c r="G31" s="579">
        <f t="shared" si="3"/>
        <v>0</v>
      </c>
      <c r="H31" s="639">
        <f>SUM(C31:G31)</f>
        <v>144.64423906499999</v>
      </c>
      <c r="I31" s="310"/>
      <c r="J31" s="303">
        <f>C31/2*11%</f>
        <v>0.54894191000000003</v>
      </c>
      <c r="K31" s="303">
        <f>(C32*11%)+(D32/2*11%)</f>
        <v>2.3504832999999996</v>
      </c>
      <c r="L31" s="611">
        <f>((D32+C32)*11%)+(E32/2*11%)</f>
        <v>7.355458056649999</v>
      </c>
      <c r="M31" s="303">
        <f>(C32+D32+E32)*11%</f>
        <v>10.009949513299999</v>
      </c>
      <c r="N31" s="303">
        <f>M31</f>
        <v>10.009949513299999</v>
      </c>
    </row>
    <row r="32" spans="1:14">
      <c r="A32" s="323" t="s">
        <v>256</v>
      </c>
      <c r="B32" s="311" t="s">
        <v>355</v>
      </c>
      <c r="C32" s="579">
        <v>0</v>
      </c>
      <c r="D32" s="579">
        <f t="shared" ref="D32:F32" si="4">D39-D17-D23</f>
        <v>42.736059999999995</v>
      </c>
      <c r="E32" s="579">
        <f t="shared" si="4"/>
        <v>48.263481030000001</v>
      </c>
      <c r="F32" s="579">
        <f t="shared" si="4"/>
        <v>43.663936034999999</v>
      </c>
      <c r="G32" s="579"/>
      <c r="H32" s="639">
        <f>SUM(C32:G32)</f>
        <v>134.663477065</v>
      </c>
      <c r="K32" s="303">
        <f>K31*1000</f>
        <v>2350.4832999999994</v>
      </c>
      <c r="L32" s="611">
        <f t="shared" ref="L32:N32" si="5">L31*1000</f>
        <v>7355.458056649999</v>
      </c>
      <c r="M32" s="611">
        <f t="shared" si="5"/>
        <v>10009.949513299998</v>
      </c>
      <c r="N32" s="611">
        <f t="shared" si="5"/>
        <v>10009.949513299998</v>
      </c>
    </row>
    <row r="33" spans="1:10">
      <c r="A33" s="323" t="s">
        <v>257</v>
      </c>
      <c r="B33" s="311" t="s">
        <v>468</v>
      </c>
      <c r="C33" s="579"/>
      <c r="D33" s="579"/>
      <c r="E33" s="579"/>
      <c r="F33" s="580"/>
      <c r="G33" s="580"/>
      <c r="H33" s="639"/>
    </row>
    <row r="34" spans="1:10">
      <c r="A34" s="602" t="s">
        <v>258</v>
      </c>
      <c r="B34" s="311" t="s">
        <v>354</v>
      </c>
      <c r="C34" s="579"/>
      <c r="D34" s="579"/>
      <c r="E34" s="579"/>
      <c r="F34" s="580"/>
      <c r="G34" s="580"/>
      <c r="H34" s="639"/>
    </row>
    <row r="35" spans="1:10">
      <c r="A35" s="602" t="s">
        <v>259</v>
      </c>
      <c r="B35" s="311" t="s">
        <v>283</v>
      </c>
      <c r="C35" s="579"/>
      <c r="D35" s="579"/>
      <c r="E35" s="579"/>
      <c r="F35" s="580"/>
      <c r="G35" s="580"/>
      <c r="H35" s="639"/>
    </row>
    <row r="36" spans="1:10">
      <c r="A36" s="323" t="s">
        <v>90</v>
      </c>
      <c r="B36" s="311" t="s">
        <v>83</v>
      </c>
      <c r="C36" s="579"/>
      <c r="D36" s="579"/>
      <c r="E36" s="579"/>
      <c r="F36" s="580"/>
      <c r="G36" s="580"/>
      <c r="H36" s="639"/>
    </row>
    <row r="37" spans="1:10">
      <c r="A37" s="323" t="s">
        <v>118</v>
      </c>
      <c r="B37" s="311" t="s">
        <v>328</v>
      </c>
      <c r="C37" s="579"/>
      <c r="D37" s="579"/>
      <c r="E37" s="579"/>
      <c r="F37" s="580"/>
      <c r="G37" s="580"/>
      <c r="H37" s="639"/>
      <c r="J37" s="309">
        <f>E39-E15</f>
        <v>48.263481029999994</v>
      </c>
    </row>
    <row r="38" spans="1:10">
      <c r="A38" s="323" t="s">
        <v>191</v>
      </c>
      <c r="B38" s="311" t="s">
        <v>480</v>
      </c>
      <c r="C38" s="579">
        <f>C39-C17-C23</f>
        <v>9.9807620000000004</v>
      </c>
      <c r="D38" s="579"/>
      <c r="E38" s="579"/>
      <c r="F38" s="580"/>
      <c r="G38" s="580"/>
      <c r="H38" s="639">
        <f>SUM(C38:G38)</f>
        <v>9.9807620000000004</v>
      </c>
      <c r="J38" s="636">
        <f>H31+H15</f>
        <v>174.094431265</v>
      </c>
    </row>
    <row r="39" spans="1:10" ht="16.5" customHeight="1">
      <c r="A39" s="603"/>
      <c r="B39" s="173" t="s">
        <v>274</v>
      </c>
      <c r="C39" s="581">
        <f>'приложение 4.1 '!C78</f>
        <v>11.366082</v>
      </c>
      <c r="D39" s="581">
        <f>'приложение 4.1 '!D78</f>
        <v>44.750319999999995</v>
      </c>
      <c r="E39" s="581">
        <f>'приложение 4.1 '!E78</f>
        <v>57.067484629999996</v>
      </c>
      <c r="F39" s="581">
        <f>'приложение 4.1 '!F78</f>
        <v>57.901544635</v>
      </c>
      <c r="G39" s="581">
        <f>'приложение 4.1 '!G78</f>
        <v>3.0090000000000003</v>
      </c>
      <c r="H39" s="640">
        <f>+C39+D39+E39+F39+G39</f>
        <v>174.09443126499997</v>
      </c>
      <c r="I39" s="309"/>
    </row>
    <row r="40" spans="1:10" ht="16.5" customHeight="1">
      <c r="A40" s="103"/>
      <c r="B40" s="311" t="s">
        <v>180</v>
      </c>
      <c r="C40" s="831">
        <f>C15+C31</f>
        <v>11.366082</v>
      </c>
      <c r="D40" s="831">
        <f>D15+D31</f>
        <v>44.750319999999995</v>
      </c>
      <c r="E40" s="831">
        <f>E15+E31</f>
        <v>57.067484630000003</v>
      </c>
      <c r="F40" s="831">
        <f t="shared" ref="F40:G40" si="6">F15+F31</f>
        <v>57.901544635</v>
      </c>
      <c r="G40" s="831">
        <f t="shared" si="6"/>
        <v>3.0090000000000003</v>
      </c>
      <c r="H40" s="831">
        <f>H15+H31</f>
        <v>174.094431265</v>
      </c>
    </row>
    <row r="41" spans="1:10" ht="16.5" customHeight="1">
      <c r="A41" s="103"/>
      <c r="B41" s="312" t="s">
        <v>181</v>
      </c>
      <c r="C41" s="111"/>
      <c r="D41" s="829"/>
      <c r="E41" s="829"/>
      <c r="F41" s="111"/>
      <c r="G41" s="111"/>
      <c r="H41" s="604"/>
    </row>
    <row r="42" spans="1:10" ht="16.5" customHeight="1" thickBot="1">
      <c r="A42" s="605"/>
      <c r="B42" s="606" t="s">
        <v>182</v>
      </c>
      <c r="C42" s="607"/>
      <c r="D42" s="607"/>
      <c r="E42" s="607"/>
      <c r="F42" s="607"/>
      <c r="G42" s="607"/>
      <c r="H42" s="608"/>
    </row>
    <row r="43" spans="1:10">
      <c r="A43" s="55"/>
      <c r="B43" s="313"/>
      <c r="C43" s="55"/>
      <c r="D43" s="55"/>
      <c r="E43" s="55"/>
      <c r="F43" s="55"/>
      <c r="G43" s="55"/>
      <c r="H43" s="55"/>
    </row>
    <row r="44" spans="1:10" ht="30.6" customHeight="1">
      <c r="A44" s="956" t="s">
        <v>78</v>
      </c>
      <c r="B44" s="956"/>
      <c r="C44" s="956"/>
      <c r="D44" s="956"/>
      <c r="E44" s="956"/>
      <c r="F44" s="956"/>
      <c r="G44" s="956"/>
      <c r="H44" s="956"/>
    </row>
    <row r="45" spans="1:10" ht="30.6" customHeight="1">
      <c r="A45" s="956" t="s">
        <v>443</v>
      </c>
      <c r="B45" s="956"/>
      <c r="C45" s="956"/>
      <c r="D45" s="956"/>
      <c r="E45" s="956"/>
      <c r="F45" s="956"/>
      <c r="G45" s="956"/>
      <c r="H45" s="956"/>
    </row>
    <row r="46" spans="1:10">
      <c r="A46" s="314"/>
      <c r="B46" s="315"/>
    </row>
    <row r="47" spans="1:10">
      <c r="A47" s="314"/>
      <c r="C47" s="309"/>
      <c r="D47" s="309"/>
      <c r="E47" s="309"/>
      <c r="F47" s="309"/>
      <c r="G47" s="309"/>
      <c r="H47" s="636"/>
    </row>
    <row r="48" spans="1:10">
      <c r="A48" s="314"/>
    </row>
    <row r="49" spans="1:9">
      <c r="A49" s="308"/>
      <c r="B49" s="308"/>
      <c r="C49" s="637"/>
      <c r="D49" s="637"/>
      <c r="E49" s="637"/>
      <c r="F49" s="637"/>
      <c r="G49" s="637"/>
      <c r="H49" s="637"/>
      <c r="I49" s="636"/>
    </row>
    <row r="50" spans="1:9">
      <c r="A50" s="314"/>
    </row>
    <row r="51" spans="1:9">
      <c r="A51" s="316"/>
      <c r="C51" s="317"/>
      <c r="D51" s="317"/>
      <c r="E51" s="317"/>
      <c r="F51" s="317"/>
      <c r="H51" s="318"/>
    </row>
    <row r="52" spans="1:9">
      <c r="C52" s="319"/>
      <c r="D52" s="319"/>
      <c r="E52" s="319"/>
      <c r="F52" s="319"/>
    </row>
    <row r="53" spans="1:9">
      <c r="A53" s="53"/>
      <c r="C53" s="307"/>
      <c r="D53" s="307"/>
      <c r="E53" s="307"/>
      <c r="F53" s="307"/>
    </row>
  </sheetData>
  <customSheetViews>
    <customSheetView guid="{8313A758-6764-4FAF-B5C3-0AC63E11C07D}" scale="80" showPageBreaks="1" zeroValues="0" fitToPage="1" printArea="1" view="pageBreakPreview">
      <selection sqref="A1:XFD1"/>
      <rowBreaks count="1" manualBreakCount="1">
        <brk id="47" max="9" man="1"/>
      </rowBreaks>
      <pageMargins left="0.74803149606299213" right="0.74803149606299213" top="0.98425196850393704" bottom="0.59055118110236227" header="0.51181102362204722" footer="0.51181102362204722"/>
      <pageSetup paperSize="9" scale="74" orientation="portrait" r:id="rId1"/>
      <headerFooter alignWithMargins="0">
        <oddFooter>&amp;R&amp;P</oddFooter>
      </headerFooter>
    </customSheetView>
    <customSheetView guid="{39750778-B4CA-4A61-A93E-2C57443220F3}" scale="80" showPageBreaks="1" zeroValues="0" fitToPage="1" printArea="1" view="pageBreakPreview" topLeftCell="A10">
      <selection activeCell="A14" sqref="A14:H43"/>
      <rowBreaks count="1" manualBreakCount="1">
        <brk id="48" max="9" man="1"/>
      </rowBreaks>
      <pageMargins left="0.74803149606299213" right="0.74803149606299213" top="0.98425196850393704" bottom="0.59055118110236227" header="0.51181102362204722" footer="0.51181102362204722"/>
      <pageSetup paperSize="9" scale="74" orientation="portrait" r:id="rId2"/>
      <headerFooter alignWithMargins="0">
        <oddFooter>&amp;R&amp;P</oddFooter>
      </headerFooter>
    </customSheetView>
  </customSheetViews>
  <mergeCells count="3">
    <mergeCell ref="A5:H5"/>
    <mergeCell ref="A44:H44"/>
    <mergeCell ref="A45:H45"/>
  </mergeCells>
  <phoneticPr fontId="0" type="noConversion"/>
  <pageMargins left="0.74803149606299213" right="0.35433070866141736" top="0.78740157480314965" bottom="0.59055118110236227" header="0.51181102362204722" footer="0.51181102362204722"/>
  <pageSetup paperSize="9" scale="80" fitToWidth="0" fitToHeight="0" orientation="portrait" r:id="rId3"/>
  <headerFooter alignWithMargins="0">
    <oddFooter>&amp;R&amp;P</oddFooter>
  </headerFooter>
  <rowBreaks count="1" manualBreakCount="1">
    <brk id="47" max="9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5"/>
  <sheetViews>
    <sheetView showZeros="0" view="pageBreakPreview" zoomScale="80" zoomScaleNormal="80" zoomScaleSheetLayoutView="80" workbookViewId="0">
      <pane xSplit="1" ySplit="15" topLeftCell="B16" activePane="bottomRight" state="frozen"/>
      <selection pane="topRight" activeCell="B1" sqref="B1"/>
      <selection pane="bottomLeft" activeCell="A16" sqref="A16"/>
      <selection pane="bottomRight" activeCell="B61" sqref="B61"/>
    </sheetView>
  </sheetViews>
  <sheetFormatPr defaultRowHeight="15.75"/>
  <cols>
    <col min="1" max="1" width="57.625" style="1" customWidth="1"/>
    <col min="2" max="5" width="11.25" style="1" customWidth="1"/>
    <col min="6" max="6" width="12.5" style="1" customWidth="1"/>
    <col min="7" max="7" width="11.25" style="1" customWidth="1"/>
    <col min="8" max="16384" width="9" style="1"/>
  </cols>
  <sheetData>
    <row r="1" spans="1:7" ht="16.5" customHeight="1">
      <c r="G1" s="294" t="s">
        <v>312</v>
      </c>
    </row>
    <row r="2" spans="1:7" ht="16.5" customHeight="1">
      <c r="G2" s="294" t="s">
        <v>433</v>
      </c>
    </row>
    <row r="3" spans="1:7" ht="16.5" customHeight="1">
      <c r="G3" s="294" t="s">
        <v>178</v>
      </c>
    </row>
    <row r="4" spans="1:7" ht="16.5" customHeight="1">
      <c r="G4" s="294"/>
    </row>
    <row r="5" spans="1:7" ht="69" customHeight="1">
      <c r="A5" s="957" t="s">
        <v>597</v>
      </c>
      <c r="B5" s="957"/>
      <c r="C5" s="957"/>
      <c r="D5" s="957"/>
      <c r="E5" s="957"/>
      <c r="F5" s="957"/>
      <c r="G5" s="957"/>
    </row>
    <row r="6" spans="1:7" ht="16.5" customHeight="1">
      <c r="A6" s="295"/>
      <c r="B6" s="295"/>
      <c r="C6" s="51"/>
      <c r="D6" s="51"/>
      <c r="E6" s="51"/>
      <c r="F6" s="51"/>
      <c r="G6" s="51"/>
    </row>
    <row r="7" spans="1:7" ht="16.5" customHeight="1">
      <c r="A7" s="295"/>
      <c r="B7" s="295"/>
      <c r="C7" s="51"/>
      <c r="D7" s="51"/>
      <c r="E7" s="51"/>
      <c r="F7" s="958" t="s">
        <v>434</v>
      </c>
      <c r="G7" s="958"/>
    </row>
    <row r="8" spans="1:7" ht="16.5" customHeight="1">
      <c r="A8" s="295"/>
      <c r="B8" s="295"/>
      <c r="C8" s="51"/>
      <c r="D8" s="51"/>
      <c r="E8" s="51"/>
      <c r="F8" s="51"/>
      <c r="G8" s="3"/>
    </row>
    <row r="9" spans="1:7" ht="16.5" customHeight="1">
      <c r="A9" s="295"/>
      <c r="B9" s="295"/>
      <c r="C9" s="51"/>
      <c r="D9" s="51"/>
      <c r="E9" s="51"/>
      <c r="F9" s="51"/>
      <c r="G9" s="3" t="s">
        <v>615</v>
      </c>
    </row>
    <row r="10" spans="1:7" ht="16.5" customHeight="1">
      <c r="A10" s="295"/>
      <c r="B10" s="295"/>
      <c r="C10" s="51"/>
      <c r="D10" s="51"/>
      <c r="E10" s="51"/>
      <c r="F10" s="51"/>
      <c r="G10" s="296" t="s">
        <v>625</v>
      </c>
    </row>
    <row r="11" spans="1:7" ht="16.5" customHeight="1">
      <c r="A11" s="295"/>
      <c r="B11" s="295"/>
      <c r="C11" s="51"/>
      <c r="D11" s="51"/>
      <c r="E11" s="51"/>
      <c r="F11" s="51"/>
      <c r="G11" s="3" t="s">
        <v>676</v>
      </c>
    </row>
    <row r="12" spans="1:7" ht="16.5" customHeight="1">
      <c r="A12" s="295"/>
      <c r="B12" s="295"/>
      <c r="C12" s="51"/>
      <c r="D12" s="51"/>
      <c r="E12" s="51"/>
      <c r="F12" s="51"/>
      <c r="G12" s="3" t="s">
        <v>173</v>
      </c>
    </row>
    <row r="14" spans="1:7" s="10" customFormat="1">
      <c r="A14" s="507" t="s">
        <v>123</v>
      </c>
      <c r="B14" s="508">
        <v>2016</v>
      </c>
      <c r="C14" s="508">
        <v>2017</v>
      </c>
      <c r="D14" s="508">
        <v>2018</v>
      </c>
      <c r="E14" s="508">
        <v>2019</v>
      </c>
      <c r="F14" s="508">
        <v>2020</v>
      </c>
      <c r="G14" s="508" t="s">
        <v>82</v>
      </c>
    </row>
    <row r="15" spans="1:7" s="10" customFormat="1">
      <c r="A15" s="509">
        <v>1</v>
      </c>
      <c r="B15" s="509">
        <v>2</v>
      </c>
      <c r="C15" s="509">
        <v>3</v>
      </c>
      <c r="D15" s="509">
        <v>4</v>
      </c>
      <c r="E15" s="509">
        <v>5</v>
      </c>
      <c r="F15" s="509">
        <v>6</v>
      </c>
      <c r="G15" s="509">
        <v>8</v>
      </c>
    </row>
    <row r="16" spans="1:7">
      <c r="A16" s="297" t="s">
        <v>412</v>
      </c>
      <c r="B16" s="582">
        <f>'приложение 4.1 '!C18</f>
        <v>35.90504</v>
      </c>
      <c r="C16" s="582">
        <f>'приложение 4.1 '!D18</f>
        <v>61.157040000000002</v>
      </c>
      <c r="D16" s="582">
        <f>'приложение 4.1 '!E18</f>
        <v>74.22672</v>
      </c>
      <c r="E16" s="582">
        <f>'приложение 4.1 '!F18</f>
        <v>84.06438</v>
      </c>
      <c r="F16" s="582">
        <f>'приложение 4.1 '!G18</f>
        <v>90.86354</v>
      </c>
      <c r="G16" s="299">
        <f t="shared" ref="G16:G47" si="0">SUM(B16:F16)</f>
        <v>346.21672000000001</v>
      </c>
    </row>
    <row r="17" spans="1:12">
      <c r="A17" s="298" t="s">
        <v>63</v>
      </c>
      <c r="B17" s="583"/>
      <c r="C17" s="583"/>
      <c r="D17" s="583"/>
      <c r="E17" s="583"/>
      <c r="F17" s="583"/>
      <c r="G17" s="299">
        <f t="shared" si="0"/>
        <v>0</v>
      </c>
    </row>
    <row r="18" spans="1:12">
      <c r="A18" s="298" t="s">
        <v>64</v>
      </c>
      <c r="B18" s="583"/>
      <c r="C18" s="583"/>
      <c r="D18" s="583"/>
      <c r="E18" s="583"/>
      <c r="F18" s="583"/>
      <c r="G18" s="299">
        <f t="shared" si="0"/>
        <v>0</v>
      </c>
    </row>
    <row r="19" spans="1:12" hidden="1">
      <c r="A19" s="298" t="s">
        <v>65</v>
      </c>
      <c r="B19" s="583"/>
      <c r="C19" s="583"/>
      <c r="D19" s="583"/>
      <c r="E19" s="583"/>
      <c r="F19" s="583"/>
      <c r="G19" s="299">
        <f t="shared" si="0"/>
        <v>0</v>
      </c>
    </row>
    <row r="20" spans="1:12">
      <c r="A20" s="298" t="s">
        <v>66</v>
      </c>
      <c r="B20" s="583"/>
      <c r="C20" s="583"/>
      <c r="D20" s="583"/>
      <c r="E20" s="583"/>
      <c r="F20" s="583"/>
      <c r="G20" s="299">
        <f t="shared" si="0"/>
        <v>0</v>
      </c>
    </row>
    <row r="21" spans="1:12">
      <c r="A21" s="298" t="s">
        <v>67</v>
      </c>
      <c r="B21" s="583">
        <f>B16</f>
        <v>35.90504</v>
      </c>
      <c r="C21" s="583">
        <f>C16</f>
        <v>61.157040000000002</v>
      </c>
      <c r="D21" s="583">
        <f>D16</f>
        <v>74.22672</v>
      </c>
      <c r="E21" s="583">
        <f>E16</f>
        <v>84.06438</v>
      </c>
      <c r="F21" s="583">
        <f>F16</f>
        <v>90.86354</v>
      </c>
      <c r="G21" s="299">
        <f t="shared" si="0"/>
        <v>346.21672000000001</v>
      </c>
    </row>
    <row r="22" spans="1:12">
      <c r="A22" s="297" t="s">
        <v>68</v>
      </c>
      <c r="B22" s="584">
        <f>B28</f>
        <v>33.760968200000001</v>
      </c>
      <c r="C22" s="584">
        <f>C28</f>
        <v>42.046692199999995</v>
      </c>
      <c r="D22" s="584">
        <f>D28</f>
        <v>46.718882200000003</v>
      </c>
      <c r="E22" s="584">
        <f>E28</f>
        <v>55.216735200000002</v>
      </c>
      <c r="F22" s="584">
        <f>F28</f>
        <v>62.405889929999994</v>
      </c>
      <c r="G22" s="299">
        <f t="shared" si="0"/>
        <v>240.14916772999999</v>
      </c>
    </row>
    <row r="23" spans="1:12">
      <c r="A23" s="300" t="s">
        <v>69</v>
      </c>
      <c r="B23" s="585"/>
      <c r="C23" s="585"/>
      <c r="D23" s="585"/>
      <c r="E23" s="585"/>
      <c r="F23" s="585"/>
      <c r="G23" s="299">
        <f t="shared" si="0"/>
        <v>0</v>
      </c>
    </row>
    <row r="24" spans="1:12">
      <c r="A24" s="298" t="s">
        <v>63</v>
      </c>
      <c r="B24" s="583"/>
      <c r="C24" s="583"/>
      <c r="D24" s="583"/>
      <c r="E24" s="583"/>
      <c r="F24" s="583"/>
      <c r="G24" s="299">
        <f t="shared" si="0"/>
        <v>0</v>
      </c>
    </row>
    <row r="25" spans="1:12">
      <c r="A25" s="298" t="s">
        <v>64</v>
      </c>
      <c r="B25" s="583"/>
      <c r="C25" s="583"/>
      <c r="D25" s="583"/>
      <c r="E25" s="583"/>
      <c r="F25" s="583"/>
      <c r="G25" s="299">
        <f t="shared" si="0"/>
        <v>0</v>
      </c>
    </row>
    <row r="26" spans="1:12" hidden="1">
      <c r="A26" s="298" t="s">
        <v>65</v>
      </c>
      <c r="B26" s="583"/>
      <c r="C26" s="583"/>
      <c r="D26" s="583"/>
      <c r="E26" s="583"/>
      <c r="F26" s="583"/>
      <c r="G26" s="299">
        <f t="shared" si="0"/>
        <v>0</v>
      </c>
    </row>
    <row r="27" spans="1:12">
      <c r="A27" s="298" t="s">
        <v>66</v>
      </c>
      <c r="B27" s="583"/>
      <c r="C27" s="583"/>
      <c r="D27" s="583"/>
      <c r="E27" s="583"/>
      <c r="F27" s="583"/>
      <c r="G27" s="299">
        <f t="shared" si="0"/>
        <v>0</v>
      </c>
    </row>
    <row r="28" spans="1:12">
      <c r="A28" s="298" t="s">
        <v>67</v>
      </c>
      <c r="B28" s="583">
        <f>'приложение 4.1 '!C22</f>
        <v>33.760968200000001</v>
      </c>
      <c r="C28" s="583">
        <f>'приложение 4.1 '!D22</f>
        <v>42.046692199999995</v>
      </c>
      <c r="D28" s="583">
        <f>'приложение 4.1 '!E22</f>
        <v>46.718882200000003</v>
      </c>
      <c r="E28" s="583">
        <f>'приложение 4.1 '!F22</f>
        <v>55.216735200000002</v>
      </c>
      <c r="F28" s="583">
        <f>'приложение 4.1 '!G22</f>
        <v>62.405889929999994</v>
      </c>
      <c r="G28" s="299">
        <f t="shared" si="0"/>
        <v>240.14916772999999</v>
      </c>
    </row>
    <row r="29" spans="1:12">
      <c r="A29" s="300" t="s">
        <v>70</v>
      </c>
      <c r="B29" s="585"/>
      <c r="C29" s="585"/>
      <c r="D29" s="585"/>
      <c r="E29" s="585"/>
      <c r="F29" s="585"/>
      <c r="G29" s="299">
        <f t="shared" si="0"/>
        <v>0</v>
      </c>
      <c r="J29" s="510"/>
    </row>
    <row r="30" spans="1:12">
      <c r="A30" s="297" t="s">
        <v>71</v>
      </c>
      <c r="B30" s="584">
        <f>B16-B28</f>
        <v>2.144071799999999</v>
      </c>
      <c r="C30" s="584">
        <f>C16-C28</f>
        <v>19.110347800000007</v>
      </c>
      <c r="D30" s="584">
        <f>D16-D28</f>
        <v>27.507837799999997</v>
      </c>
      <c r="E30" s="584">
        <f>E16-E28</f>
        <v>28.847644799999998</v>
      </c>
      <c r="F30" s="584">
        <f>F16-F28</f>
        <v>28.457650070000007</v>
      </c>
      <c r="G30" s="299">
        <f t="shared" si="0"/>
        <v>106.06755226999999</v>
      </c>
    </row>
    <row r="31" spans="1:12">
      <c r="A31" s="297" t="s">
        <v>72</v>
      </c>
      <c r="B31" s="584">
        <f>'приложение 4.1 '!C43</f>
        <v>0.45227039999999996</v>
      </c>
      <c r="C31" s="584">
        <f>'приложение 4.1 '!D43</f>
        <v>2.8705918999999995</v>
      </c>
      <c r="D31" s="584">
        <f>'приложение 4.1 '!E43</f>
        <v>7.9476056566499986</v>
      </c>
      <c r="E31" s="584">
        <f>'приложение 4.1 '!F43</f>
        <v>10.684107113299998</v>
      </c>
      <c r="F31" s="584">
        <f>'приложение 4.1 '!G43</f>
        <v>10.777480513299999</v>
      </c>
      <c r="G31" s="299">
        <f t="shared" si="0"/>
        <v>32.732055583249995</v>
      </c>
      <c r="L31" s="510"/>
    </row>
    <row r="32" spans="1:12">
      <c r="A32" s="297" t="s">
        <v>62</v>
      </c>
      <c r="B32" s="584">
        <f>'приложение 4.1 '!C45</f>
        <v>0</v>
      </c>
      <c r="C32" s="584">
        <f>'приложение 4.1 '!D45</f>
        <v>2.3504832999999996</v>
      </c>
      <c r="D32" s="584">
        <f>'приложение 4.1 '!E45</f>
        <v>7.355458056649999</v>
      </c>
      <c r="E32" s="584">
        <f>'приложение 4.1 '!F45</f>
        <v>10.009949513299999</v>
      </c>
      <c r="F32" s="584">
        <f>'приложение 4.1 '!G45</f>
        <v>10.009949513299999</v>
      </c>
      <c r="G32" s="299">
        <f t="shared" si="0"/>
        <v>29.725840383249995</v>
      </c>
    </row>
    <row r="33" spans="1:15">
      <c r="A33" s="297" t="s">
        <v>100</v>
      </c>
      <c r="B33" s="584">
        <f>'приложение 4.1 '!C47</f>
        <v>0.61579479999999998</v>
      </c>
      <c r="C33" s="584">
        <f>'приложение 4.1 '!D47</f>
        <v>0.61579479999999998</v>
      </c>
      <c r="D33" s="584">
        <f>'приложение 4.1 '!E47</f>
        <v>0.76702359999999992</v>
      </c>
      <c r="E33" s="584">
        <f>'приложение 4.1 '!F47</f>
        <v>0.89488839999999992</v>
      </c>
      <c r="F33" s="584">
        <f>'приложение 4.1 '!G47</f>
        <v>0.98795500000000003</v>
      </c>
      <c r="G33" s="299">
        <f t="shared" si="0"/>
        <v>3.8814565999999995</v>
      </c>
    </row>
    <row r="34" spans="1:15">
      <c r="A34" s="297" t="s">
        <v>73</v>
      </c>
      <c r="B34" s="584">
        <f>B30-B31-B32-B33</f>
        <v>1.076006599999999</v>
      </c>
      <c r="C34" s="584">
        <f>C30-C31-C32-C33</f>
        <v>13.273477800000006</v>
      </c>
      <c r="D34" s="584">
        <f>D30-D31-D32-D33</f>
        <v>11.437750486700001</v>
      </c>
      <c r="E34" s="584">
        <f>E30-E31-E32-E33</f>
        <v>7.2586997734000009</v>
      </c>
      <c r="F34" s="584">
        <f>F30-F31-F32-F33</f>
        <v>6.682265043400009</v>
      </c>
      <c r="G34" s="299">
        <f t="shared" si="0"/>
        <v>39.728199703500017</v>
      </c>
    </row>
    <row r="35" spans="1:15">
      <c r="A35" s="297" t="s">
        <v>74</v>
      </c>
      <c r="B35" s="584">
        <f>B34</f>
        <v>1.076006599999999</v>
      </c>
      <c r="C35" s="584">
        <f>C34</f>
        <v>13.273477800000006</v>
      </c>
      <c r="D35" s="584">
        <f>D34</f>
        <v>11.437750486700001</v>
      </c>
      <c r="E35" s="584">
        <f>E34</f>
        <v>7.2586997734000009</v>
      </c>
      <c r="F35" s="584">
        <f>F34</f>
        <v>6.682265043400009</v>
      </c>
      <c r="G35" s="299">
        <f t="shared" si="0"/>
        <v>39.728199703500017</v>
      </c>
    </row>
    <row r="36" spans="1:15">
      <c r="A36" s="297"/>
      <c r="B36" s="584"/>
      <c r="C36" s="586"/>
      <c r="D36" s="586"/>
      <c r="E36" s="586"/>
      <c r="F36" s="586"/>
      <c r="G36" s="299">
        <f t="shared" si="0"/>
        <v>0</v>
      </c>
    </row>
    <row r="37" spans="1:15">
      <c r="A37" s="297" t="s">
        <v>75</v>
      </c>
      <c r="B37" s="587"/>
      <c r="C37" s="587">
        <f t="shared" ref="C37:F37" si="1">C30*1.18</f>
        <v>22.550210404000008</v>
      </c>
      <c r="D37" s="587">
        <f t="shared" si="1"/>
        <v>32.459248603999995</v>
      </c>
      <c r="E37" s="587">
        <f t="shared" si="1"/>
        <v>34.040220863999998</v>
      </c>
      <c r="F37" s="587">
        <f t="shared" si="1"/>
        <v>33.580027082600004</v>
      </c>
      <c r="G37" s="299">
        <f t="shared" si="0"/>
        <v>122.62970695460001</v>
      </c>
    </row>
    <row r="38" spans="1:15">
      <c r="A38" s="297" t="s">
        <v>76</v>
      </c>
      <c r="B38" s="587">
        <f>B16</f>
        <v>35.90504</v>
      </c>
      <c r="C38" s="587">
        <f t="shared" ref="C38:F38" si="2">C16</f>
        <v>61.157040000000002</v>
      </c>
      <c r="D38" s="587">
        <f t="shared" si="2"/>
        <v>74.22672</v>
      </c>
      <c r="E38" s="587">
        <f t="shared" si="2"/>
        <v>84.06438</v>
      </c>
      <c r="F38" s="587">
        <f t="shared" si="2"/>
        <v>90.86354</v>
      </c>
      <c r="G38" s="299">
        <f>SUM(B38:F38)</f>
        <v>346.21672000000001</v>
      </c>
      <c r="K38" s="510"/>
      <c r="O38" s="510"/>
    </row>
    <row r="39" spans="1:15">
      <c r="A39" s="298" t="s">
        <v>63</v>
      </c>
      <c r="B39" s="587"/>
      <c r="C39" s="587"/>
      <c r="D39" s="587"/>
      <c r="E39" s="587"/>
      <c r="F39" s="587"/>
      <c r="G39" s="299">
        <f t="shared" si="0"/>
        <v>0</v>
      </c>
    </row>
    <row r="40" spans="1:15">
      <c r="A40" s="298" t="s">
        <v>64</v>
      </c>
      <c r="B40" s="587"/>
      <c r="C40" s="587"/>
      <c r="D40" s="587"/>
      <c r="E40" s="587"/>
      <c r="F40" s="587"/>
      <c r="G40" s="299">
        <f t="shared" si="0"/>
        <v>0</v>
      </c>
    </row>
    <row r="41" spans="1:15" hidden="1">
      <c r="A41" s="298" t="s">
        <v>65</v>
      </c>
      <c r="B41" s="587"/>
      <c r="C41" s="587"/>
      <c r="D41" s="587"/>
      <c r="E41" s="587"/>
      <c r="F41" s="587"/>
      <c r="G41" s="299">
        <f t="shared" si="0"/>
        <v>0</v>
      </c>
      <c r="J41" s="510"/>
    </row>
    <row r="42" spans="1:15">
      <c r="A42" s="298" t="s">
        <v>66</v>
      </c>
      <c r="B42" s="587"/>
      <c r="C42" s="587"/>
      <c r="D42" s="587"/>
      <c r="E42" s="587"/>
      <c r="F42" s="587"/>
      <c r="G42" s="299">
        <f t="shared" si="0"/>
        <v>0</v>
      </c>
    </row>
    <row r="43" spans="1:15">
      <c r="A43" s="298" t="s">
        <v>67</v>
      </c>
      <c r="B43" s="587">
        <f>B38</f>
        <v>35.90504</v>
      </c>
      <c r="C43" s="587">
        <f>C38</f>
        <v>61.157040000000002</v>
      </c>
      <c r="D43" s="587">
        <f>D38</f>
        <v>74.22672</v>
      </c>
      <c r="E43" s="587">
        <f>E38</f>
        <v>84.06438</v>
      </c>
      <c r="F43" s="587">
        <f>F38</f>
        <v>90.86354</v>
      </c>
      <c r="G43" s="299">
        <f t="shared" si="0"/>
        <v>346.21672000000001</v>
      </c>
    </row>
    <row r="44" spans="1:15">
      <c r="A44" s="297" t="s">
        <v>77</v>
      </c>
      <c r="B44" s="587">
        <f>B45+B50+B52</f>
        <v>34.213238600000004</v>
      </c>
      <c r="C44" s="587">
        <f t="shared" ref="C44:F44" si="3">C45+C50+C52</f>
        <v>44.917284099999996</v>
      </c>
      <c r="D44" s="587">
        <f t="shared" si="3"/>
        <v>54.666487856650001</v>
      </c>
      <c r="E44" s="587">
        <f t="shared" si="3"/>
        <v>65.900842313300004</v>
      </c>
      <c r="F44" s="587">
        <f t="shared" si="3"/>
        <v>73.183370443299992</v>
      </c>
      <c r="G44" s="299">
        <f t="shared" si="0"/>
        <v>272.88122331324996</v>
      </c>
    </row>
    <row r="45" spans="1:15">
      <c r="A45" s="300" t="s">
        <v>472</v>
      </c>
      <c r="B45" s="587">
        <f>B22</f>
        <v>33.760968200000001</v>
      </c>
      <c r="C45" s="587">
        <f t="shared" ref="C45:F45" si="4">C22</f>
        <v>42.046692199999995</v>
      </c>
      <c r="D45" s="587">
        <f t="shared" si="4"/>
        <v>46.718882200000003</v>
      </c>
      <c r="E45" s="587">
        <f t="shared" si="4"/>
        <v>55.216735200000002</v>
      </c>
      <c r="F45" s="587">
        <f t="shared" si="4"/>
        <v>62.405889929999994</v>
      </c>
      <c r="G45" s="299">
        <f t="shared" si="0"/>
        <v>240.14916772999999</v>
      </c>
    </row>
    <row r="46" spans="1:15">
      <c r="A46" s="298" t="s">
        <v>63</v>
      </c>
      <c r="B46" s="587"/>
      <c r="C46" s="587"/>
      <c r="D46" s="587"/>
      <c r="E46" s="587"/>
      <c r="F46" s="587"/>
      <c r="G46" s="299">
        <f t="shared" si="0"/>
        <v>0</v>
      </c>
      <c r="I46" s="510"/>
    </row>
    <row r="47" spans="1:15">
      <c r="A47" s="298" t="s">
        <v>64</v>
      </c>
      <c r="B47" s="588"/>
      <c r="C47" s="588"/>
      <c r="D47" s="588"/>
      <c r="E47" s="588"/>
      <c r="F47" s="588"/>
      <c r="G47" s="589">
        <f t="shared" si="0"/>
        <v>0</v>
      </c>
    </row>
    <row r="48" spans="1:15" hidden="1">
      <c r="A48" s="298" t="s">
        <v>65</v>
      </c>
      <c r="B48" s="588"/>
      <c r="C48" s="588"/>
      <c r="D48" s="588"/>
      <c r="E48" s="588"/>
      <c r="F48" s="588"/>
      <c r="G48" s="589">
        <f t="shared" ref="G48:G70" si="5">SUM(B48:F48)</f>
        <v>0</v>
      </c>
    </row>
    <row r="49" spans="1:7">
      <c r="A49" s="298" t="s">
        <v>66</v>
      </c>
      <c r="B49" s="588"/>
      <c r="C49" s="588"/>
      <c r="D49" s="588"/>
      <c r="E49" s="588"/>
      <c r="F49" s="588"/>
      <c r="G49" s="589">
        <f t="shared" si="5"/>
        <v>0</v>
      </c>
    </row>
    <row r="50" spans="1:7">
      <c r="A50" s="298" t="s">
        <v>67</v>
      </c>
      <c r="B50" s="588">
        <f>'приложение 4.1 '!C43-'приложение 4.1 '!C45</f>
        <v>0.45227039999999996</v>
      </c>
      <c r="C50" s="588">
        <f>'приложение 4.1 '!D43-'приложение 4.1 '!D45</f>
        <v>0.52010859999999992</v>
      </c>
      <c r="D50" s="588">
        <f>'приложение 4.1 '!E43-'приложение 4.1 '!E45</f>
        <v>0.59214759999999966</v>
      </c>
      <c r="E50" s="588">
        <f>'приложение 4.1 '!F43-'приложение 4.1 '!F45</f>
        <v>0.67415759999999914</v>
      </c>
      <c r="F50" s="588">
        <f>'приложение 4.1 '!G43-'приложение 4.1 '!G45</f>
        <v>0.76753099999999996</v>
      </c>
      <c r="G50" s="589">
        <f t="shared" si="5"/>
        <v>3.0062151999999989</v>
      </c>
    </row>
    <row r="51" spans="1:7">
      <c r="A51" s="300" t="s">
        <v>473</v>
      </c>
      <c r="B51" s="588"/>
      <c r="C51" s="588"/>
      <c r="D51" s="588"/>
      <c r="E51" s="588"/>
      <c r="F51" s="588"/>
      <c r="G51" s="589">
        <f t="shared" si="5"/>
        <v>0</v>
      </c>
    </row>
    <row r="52" spans="1:7">
      <c r="A52" s="300" t="s">
        <v>474</v>
      </c>
      <c r="B52" s="588">
        <f>B32</f>
        <v>0</v>
      </c>
      <c r="C52" s="588">
        <f t="shared" ref="C52:F52" si="6">C32</f>
        <v>2.3504832999999996</v>
      </c>
      <c r="D52" s="588">
        <f t="shared" si="6"/>
        <v>7.355458056649999</v>
      </c>
      <c r="E52" s="588">
        <f t="shared" si="6"/>
        <v>10.009949513299999</v>
      </c>
      <c r="F52" s="588">
        <f t="shared" si="6"/>
        <v>10.009949513299999</v>
      </c>
      <c r="G52" s="589">
        <f t="shared" si="5"/>
        <v>29.725840383249995</v>
      </c>
    </row>
    <row r="53" spans="1:7">
      <c r="A53" s="297" t="s">
        <v>475</v>
      </c>
      <c r="B53" s="588">
        <f>B38-B44</f>
        <v>1.6918013999999957</v>
      </c>
      <c r="C53" s="588">
        <f t="shared" ref="C53:F53" si="7">C38-C44</f>
        <v>16.239755900000006</v>
      </c>
      <c r="D53" s="588">
        <f t="shared" si="7"/>
        <v>19.560232143349999</v>
      </c>
      <c r="E53" s="588">
        <f t="shared" si="7"/>
        <v>18.163537686699996</v>
      </c>
      <c r="F53" s="588">
        <f t="shared" si="7"/>
        <v>17.680169556700008</v>
      </c>
      <c r="G53" s="589">
        <f t="shared" si="5"/>
        <v>73.335496686750005</v>
      </c>
    </row>
    <row r="54" spans="1:7">
      <c r="A54" s="297" t="s">
        <v>476</v>
      </c>
      <c r="B54" s="588"/>
      <c r="C54" s="588"/>
      <c r="D54" s="588"/>
      <c r="E54" s="588"/>
      <c r="F54" s="588"/>
      <c r="G54" s="589">
        <f t="shared" si="5"/>
        <v>0</v>
      </c>
    </row>
    <row r="55" spans="1:7">
      <c r="A55" s="297" t="s">
        <v>76</v>
      </c>
      <c r="B55" s="588"/>
      <c r="C55" s="588"/>
      <c r="D55" s="588"/>
      <c r="E55" s="588"/>
      <c r="F55" s="588"/>
      <c r="G55" s="589">
        <f t="shared" si="5"/>
        <v>0</v>
      </c>
    </row>
    <row r="56" spans="1:7">
      <c r="A56" s="297" t="s">
        <v>77</v>
      </c>
      <c r="B56" s="588"/>
      <c r="C56" s="588"/>
      <c r="D56" s="588"/>
      <c r="E56" s="588"/>
      <c r="F56" s="588"/>
      <c r="G56" s="589">
        <f t="shared" si="5"/>
        <v>0</v>
      </c>
    </row>
    <row r="57" spans="1:7">
      <c r="A57" s="297" t="s">
        <v>53</v>
      </c>
      <c r="B57" s="588">
        <f>-B56</f>
        <v>0</v>
      </c>
      <c r="C57" s="588">
        <f>-C56</f>
        <v>0</v>
      </c>
      <c r="D57" s="588">
        <f>-D56</f>
        <v>0</v>
      </c>
      <c r="E57" s="588">
        <f>-E56</f>
        <v>0</v>
      </c>
      <c r="F57" s="588">
        <f>-F56</f>
        <v>0</v>
      </c>
      <c r="G57" s="590"/>
    </row>
    <row r="58" spans="1:7">
      <c r="A58" s="297" t="s">
        <v>318</v>
      </c>
      <c r="B58" s="588">
        <f>B61+B53</f>
        <v>11.672563399999996</v>
      </c>
      <c r="C58" s="588">
        <f t="shared" ref="C58:F58" si="8">C61+C53</f>
        <v>58.975815900000001</v>
      </c>
      <c r="D58" s="588">
        <f t="shared" si="8"/>
        <v>67.823713173350001</v>
      </c>
      <c r="E58" s="588">
        <f t="shared" si="8"/>
        <v>61.827473721699995</v>
      </c>
      <c r="F58" s="588">
        <f t="shared" si="8"/>
        <v>17.680169556700008</v>
      </c>
      <c r="G58" s="589">
        <f t="shared" si="5"/>
        <v>217.97973575175001</v>
      </c>
    </row>
    <row r="59" spans="1:7">
      <c r="A59" s="297" t="s">
        <v>76</v>
      </c>
      <c r="B59" s="591"/>
      <c r="C59" s="591"/>
      <c r="D59" s="591"/>
      <c r="E59" s="591"/>
      <c r="F59" s="591"/>
      <c r="G59" s="589">
        <f t="shared" si="5"/>
        <v>0</v>
      </c>
    </row>
    <row r="60" spans="1:7">
      <c r="A60" s="300" t="s">
        <v>319</v>
      </c>
      <c r="B60" s="591"/>
      <c r="C60" s="591"/>
      <c r="D60" s="591"/>
      <c r="E60" s="591"/>
      <c r="F60" s="591"/>
      <c r="G60" s="589">
        <f t="shared" si="5"/>
        <v>0</v>
      </c>
    </row>
    <row r="61" spans="1:7">
      <c r="A61" s="300" t="s">
        <v>320</v>
      </c>
      <c r="B61" s="591">
        <f>'приложение 4.1 '!C65</f>
        <v>9.9807620000000004</v>
      </c>
      <c r="C61" s="591">
        <f>'приложение 4.1 '!D65</f>
        <v>42.736059999999995</v>
      </c>
      <c r="D61" s="591">
        <f>'приложение 4.1 '!E65</f>
        <v>48.263481030000001</v>
      </c>
      <c r="E61" s="591">
        <f>'приложение 4.1 '!F65</f>
        <v>43.663936034999999</v>
      </c>
      <c r="F61" s="591">
        <f>'приложение 4.1 '!G65</f>
        <v>0</v>
      </c>
      <c r="G61" s="589">
        <f t="shared" si="5"/>
        <v>144.64423906499999</v>
      </c>
    </row>
    <row r="62" spans="1:7">
      <c r="A62" s="297" t="s">
        <v>77</v>
      </c>
      <c r="B62" s="591"/>
      <c r="C62" s="591"/>
      <c r="D62" s="591"/>
      <c r="E62" s="591"/>
      <c r="F62" s="591"/>
      <c r="G62" s="589"/>
    </row>
    <row r="63" spans="1:7">
      <c r="A63" s="300" t="s">
        <v>321</v>
      </c>
      <c r="B63" s="591"/>
      <c r="C63" s="591"/>
      <c r="D63" s="591"/>
      <c r="E63" s="591"/>
      <c r="F63" s="591"/>
      <c r="G63" s="589"/>
    </row>
    <row r="64" spans="1:7">
      <c r="A64" s="297" t="s">
        <v>322</v>
      </c>
      <c r="B64" s="301">
        <f>B58</f>
        <v>11.672563399999996</v>
      </c>
      <c r="C64" s="301">
        <f t="shared" ref="C64:F64" si="9">C58</f>
        <v>58.975815900000001</v>
      </c>
      <c r="D64" s="301">
        <f t="shared" si="9"/>
        <v>67.823713173350001</v>
      </c>
      <c r="E64" s="301">
        <f t="shared" si="9"/>
        <v>61.827473721699995</v>
      </c>
      <c r="F64" s="301">
        <f t="shared" si="9"/>
        <v>17.680169556700008</v>
      </c>
      <c r="G64" s="301"/>
    </row>
    <row r="65" spans="1:7">
      <c r="A65" s="297" t="s">
        <v>323</v>
      </c>
      <c r="B65" s="301">
        <f>B64</f>
        <v>11.672563399999996</v>
      </c>
      <c r="C65" s="301">
        <f t="shared" ref="C65:F65" si="10">C64</f>
        <v>58.975815900000001</v>
      </c>
      <c r="D65" s="301">
        <f t="shared" si="10"/>
        <v>67.823713173350001</v>
      </c>
      <c r="E65" s="301">
        <f t="shared" si="10"/>
        <v>61.827473721699995</v>
      </c>
      <c r="F65" s="301">
        <f t="shared" si="10"/>
        <v>17.680169556700008</v>
      </c>
      <c r="G65" s="299"/>
    </row>
    <row r="66" spans="1:7">
      <c r="A66" s="297" t="s">
        <v>324</v>
      </c>
      <c r="B66" s="301"/>
      <c r="C66" s="301"/>
      <c r="D66" s="301"/>
      <c r="E66" s="301"/>
      <c r="F66" s="301"/>
      <c r="G66" s="299"/>
    </row>
    <row r="67" spans="1:7">
      <c r="A67" s="302" t="s">
        <v>325</v>
      </c>
      <c r="B67" s="301"/>
      <c r="C67" s="301"/>
      <c r="D67" s="301"/>
      <c r="E67" s="301"/>
      <c r="F67" s="301"/>
      <c r="G67" s="299">
        <f t="shared" si="5"/>
        <v>0</v>
      </c>
    </row>
    <row r="68" spans="1:7">
      <c r="A68" s="302" t="s">
        <v>326</v>
      </c>
      <c r="B68" s="301"/>
      <c r="C68" s="301"/>
      <c r="D68" s="301"/>
      <c r="E68" s="301"/>
      <c r="F68" s="301"/>
      <c r="G68" s="299">
        <f t="shared" si="5"/>
        <v>0</v>
      </c>
    </row>
    <row r="69" spans="1:7">
      <c r="A69" s="302" t="s">
        <v>327</v>
      </c>
      <c r="B69" s="301"/>
      <c r="C69" s="301"/>
      <c r="D69" s="301"/>
      <c r="E69" s="301"/>
      <c r="F69" s="301"/>
      <c r="G69" s="299">
        <f t="shared" si="5"/>
        <v>0</v>
      </c>
    </row>
    <row r="70" spans="1:7">
      <c r="A70" s="302" t="s">
        <v>307</v>
      </c>
      <c r="B70" s="301"/>
      <c r="C70" s="301"/>
      <c r="D70" s="301"/>
      <c r="E70" s="301"/>
      <c r="F70" s="301"/>
      <c r="G70" s="299">
        <f t="shared" si="5"/>
        <v>0</v>
      </c>
    </row>
    <row r="71" spans="1:7">
      <c r="A71" s="297" t="s">
        <v>323</v>
      </c>
      <c r="B71" s="301">
        <f>B65</f>
        <v>11.672563399999996</v>
      </c>
      <c r="C71" s="301">
        <f t="shared" ref="C71:F71" si="11">C65</f>
        <v>58.975815900000001</v>
      </c>
      <c r="D71" s="301">
        <f t="shared" si="11"/>
        <v>67.823713173350001</v>
      </c>
      <c r="E71" s="301">
        <f t="shared" si="11"/>
        <v>61.827473721699995</v>
      </c>
      <c r="F71" s="301">
        <f t="shared" si="11"/>
        <v>17.680169556700008</v>
      </c>
      <c r="G71" s="299"/>
    </row>
    <row r="72" spans="1:7">
      <c r="A72" s="297" t="s">
        <v>308</v>
      </c>
      <c r="B72" s="299"/>
      <c r="C72" s="299">
        <f>C71+C73</f>
        <v>70.648379300000002</v>
      </c>
      <c r="D72" s="299">
        <f t="shared" ref="D72:F72" si="12">D71+D73</f>
        <v>126.79952907335</v>
      </c>
      <c r="E72" s="299">
        <f t="shared" si="12"/>
        <v>129.65118689504999</v>
      </c>
      <c r="F72" s="299">
        <f t="shared" si="12"/>
        <v>79.507643278399996</v>
      </c>
      <c r="G72" s="299"/>
    </row>
    <row r="73" spans="1:7">
      <c r="A73" s="302" t="s">
        <v>309</v>
      </c>
      <c r="B73" s="301"/>
      <c r="C73" s="301">
        <f>B71</f>
        <v>11.672563399999996</v>
      </c>
      <c r="D73" s="301">
        <f>C71</f>
        <v>58.975815900000001</v>
      </c>
      <c r="E73" s="301">
        <f t="shared" ref="E73:F73" si="13">D71</f>
        <v>67.823713173350001</v>
      </c>
      <c r="F73" s="301">
        <f t="shared" si="13"/>
        <v>61.827473721699995</v>
      </c>
      <c r="G73" s="299"/>
    </row>
    <row r="74" spans="1:7">
      <c r="A74" s="297" t="s">
        <v>310</v>
      </c>
      <c r="B74" s="584">
        <v>0</v>
      </c>
      <c r="C74" s="584">
        <f>B75</f>
        <v>14.02</v>
      </c>
      <c r="D74" s="584">
        <f>C75</f>
        <v>46.099999999999994</v>
      </c>
      <c r="E74" s="584">
        <f>D75</f>
        <v>70.949999999999989</v>
      </c>
      <c r="F74" s="584">
        <f>E75</f>
        <v>83.86999999999999</v>
      </c>
      <c r="G74" s="702"/>
    </row>
    <row r="75" spans="1:7">
      <c r="A75" s="297" t="s">
        <v>311</v>
      </c>
      <c r="B75" s="584">
        <v>14.02</v>
      </c>
      <c r="C75" s="584">
        <f>C74+32.08</f>
        <v>46.099999999999994</v>
      </c>
      <c r="D75" s="584">
        <f>D74+24.85</f>
        <v>70.949999999999989</v>
      </c>
      <c r="E75" s="584">
        <f>E74+12.92</f>
        <v>83.86999999999999</v>
      </c>
      <c r="F75" s="584">
        <f>F74</f>
        <v>83.86999999999999</v>
      </c>
      <c r="G75" s="702"/>
    </row>
  </sheetData>
  <customSheetViews>
    <customSheetView guid="{8313A758-6764-4FAF-B5C3-0AC63E11C07D}" scale="70" showPageBreaks="1" zeroValues="0" view="pageBreakPreview" topLeftCell="A19">
      <selection activeCell="D10" sqref="D10"/>
      <pageMargins left="0.70866141732283472" right="0.70866141732283472" top="0.74803149606299213" bottom="0.59055118110236227" header="0.31496062992125984" footer="0.31496062992125984"/>
      <pageSetup paperSize="9" scale="50" fitToHeight="2" orientation="portrait" r:id="rId1"/>
      <headerFooter alignWithMargins="0">
        <oddFooter>&amp;R&amp;P</oddFooter>
      </headerFooter>
    </customSheetView>
    <customSheetView guid="{39750778-B4CA-4A61-A93E-2C57443220F3}" scale="80" showPageBreaks="1" zeroValues="0" printArea="1" view="pageBreakPreview" topLeftCell="A14">
      <selection activeCell="F71" sqref="F71"/>
      <pageMargins left="0.70866141732283472" right="0.70866141732283472" top="0.74803149606299213" bottom="0.59055118110236227" header="0.31496062992125984" footer="0.31496062992125984"/>
      <pageSetup paperSize="9" scale="36" fitToHeight="2" orientation="portrait" r:id="rId2"/>
      <headerFooter alignWithMargins="0">
        <oddFooter>&amp;R&amp;P</oddFooter>
      </headerFooter>
    </customSheetView>
  </customSheetViews>
  <mergeCells count="2">
    <mergeCell ref="A5:G5"/>
    <mergeCell ref="F7:G7"/>
  </mergeCells>
  <phoneticPr fontId="0" type="noConversion"/>
  <pageMargins left="0.39370078740157483" right="0.39370078740157483" top="0.35433070866141736" bottom="0.19685039370078741" header="0.31496062992125984" footer="0.31496062992125984"/>
  <pageSetup paperSize="9" scale="70" fitToHeight="2" orientation="portrait" r:id="rId3"/>
  <headerFooter alignWithMargins="0">
    <oddFooter>&amp;R&amp;P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C71"/>
  <sheetViews>
    <sheetView topLeftCell="A10" zoomScale="60" zoomScaleNormal="41" zoomScalePageLayoutView="46" workbookViewId="0">
      <selection activeCell="G23" sqref="G23:H23"/>
    </sheetView>
  </sheetViews>
  <sheetFormatPr defaultRowHeight="20.25" outlineLevelRow="1" outlineLevelCol="1"/>
  <cols>
    <col min="1" max="1" width="10.625" style="136" customWidth="1"/>
    <col min="2" max="2" width="40.75" style="136" customWidth="1"/>
    <col min="3" max="3" width="13.75" style="136" customWidth="1"/>
    <col min="4" max="4" width="12.75" style="186" customWidth="1"/>
    <col min="5" max="5" width="12.375" style="186" customWidth="1"/>
    <col min="6" max="6" width="25.875" style="186" customWidth="1"/>
    <col min="7" max="7" width="15.5" style="368" customWidth="1"/>
    <col min="8" max="8" width="15.625" style="368" customWidth="1"/>
    <col min="9" max="9" width="22.375" style="144" customWidth="1"/>
    <col min="10" max="10" width="22.25" style="144" customWidth="1"/>
    <col min="11" max="11" width="21.125" style="144" customWidth="1" collapsed="1"/>
    <col min="12" max="19" width="11.5" style="144" hidden="1" customWidth="1" outlineLevel="1"/>
    <col min="20" max="21" width="11.375" style="144" hidden="1" customWidth="1" outlineLevel="1"/>
    <col min="22" max="22" width="12.625" style="144" hidden="1" customWidth="1" outlineLevel="1"/>
    <col min="23" max="23" width="13" style="144" hidden="1" customWidth="1" outlineLevel="1"/>
    <col min="24" max="27" width="18.625" style="144" customWidth="1"/>
    <col min="28" max="28" width="17.625" style="144" customWidth="1"/>
    <col min="29" max="29" width="20.75" style="144" customWidth="1"/>
    <col min="30" max="31" width="9" style="136"/>
    <col min="32" max="32" width="10.75" style="136" bestFit="1" customWidth="1"/>
    <col min="33" max="16384" width="9" style="136"/>
  </cols>
  <sheetData>
    <row r="1" spans="1:29">
      <c r="A1" s="133"/>
      <c r="B1" s="133"/>
      <c r="C1" s="133"/>
      <c r="D1" s="146"/>
      <c r="E1" s="146"/>
      <c r="F1" s="146"/>
      <c r="G1" s="366"/>
      <c r="H1" s="366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C1" s="134" t="s">
        <v>495</v>
      </c>
    </row>
    <row r="2" spans="1:29">
      <c r="A2" s="133"/>
      <c r="B2" s="409"/>
      <c r="C2" s="133"/>
      <c r="D2" s="450"/>
      <c r="E2" s="450"/>
      <c r="F2" s="450"/>
      <c r="G2" s="396"/>
      <c r="H2" s="396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4"/>
      <c r="X2" s="134"/>
      <c r="Y2" s="134"/>
      <c r="Z2" s="134"/>
      <c r="AA2" s="134"/>
      <c r="AC2" s="134" t="s">
        <v>433</v>
      </c>
    </row>
    <row r="3" spans="1:29">
      <c r="A3" s="133"/>
      <c r="B3" s="133"/>
      <c r="C3" s="133"/>
      <c r="D3" s="292"/>
      <c r="E3" s="450"/>
      <c r="F3" s="450"/>
      <c r="G3" s="396"/>
      <c r="H3" s="396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4"/>
      <c r="X3" s="134"/>
      <c r="Y3" s="134"/>
      <c r="Z3" s="134"/>
      <c r="AA3" s="134"/>
      <c r="AC3" s="134" t="s">
        <v>496</v>
      </c>
    </row>
    <row r="4" spans="1:29">
      <c r="A4" s="133"/>
      <c r="B4" s="410"/>
      <c r="C4" s="147"/>
      <c r="D4" s="146"/>
      <c r="E4" s="146"/>
      <c r="F4" s="146"/>
      <c r="G4" s="366"/>
      <c r="H4" s="366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C4" s="134"/>
    </row>
    <row r="5" spans="1:29">
      <c r="A5" s="133"/>
      <c r="B5" s="411"/>
      <c r="C5" s="137"/>
      <c r="D5" s="146"/>
      <c r="E5" s="146"/>
      <c r="F5" s="146"/>
      <c r="G5" s="366"/>
      <c r="H5" s="396"/>
      <c r="I5" s="135"/>
      <c r="J5" s="135"/>
      <c r="K5" s="293"/>
      <c r="L5" s="293"/>
      <c r="M5" s="293"/>
      <c r="N5" s="293"/>
      <c r="O5" s="293"/>
      <c r="P5" s="293"/>
      <c r="Q5" s="293"/>
      <c r="R5" s="293"/>
      <c r="S5" s="293"/>
      <c r="T5" s="293"/>
      <c r="U5" s="293"/>
      <c r="V5" s="293"/>
      <c r="X5" s="454"/>
      <c r="Y5" s="454"/>
      <c r="Z5" s="454"/>
      <c r="AA5" s="454"/>
      <c r="AC5" s="449" t="s">
        <v>296</v>
      </c>
    </row>
    <row r="6" spans="1:29" s="140" customFormat="1" ht="20.25" customHeight="1">
      <c r="A6" s="139"/>
      <c r="B6" s="840"/>
      <c r="C6" s="840"/>
      <c r="D6" s="188"/>
      <c r="E6" s="188"/>
      <c r="F6" s="188"/>
      <c r="G6" s="367"/>
      <c r="H6" s="839"/>
      <c r="I6" s="840"/>
      <c r="J6" s="840"/>
      <c r="K6" s="840"/>
      <c r="L6" s="451"/>
      <c r="M6" s="451"/>
      <c r="N6" s="451"/>
      <c r="O6" s="451"/>
      <c r="P6" s="532"/>
      <c r="Q6" s="532"/>
      <c r="R6" s="532"/>
      <c r="S6" s="532"/>
      <c r="T6" s="451"/>
      <c r="U6" s="451"/>
      <c r="V6" s="451"/>
      <c r="X6" s="455"/>
      <c r="Y6" s="455"/>
      <c r="Z6" s="455"/>
      <c r="AA6" s="455"/>
      <c r="AC6" s="456" t="s">
        <v>615</v>
      </c>
    </row>
    <row r="7" spans="1:29" s="143" customFormat="1">
      <c r="A7" s="141"/>
      <c r="B7" s="412"/>
      <c r="C7" s="138"/>
      <c r="D7" s="146"/>
      <c r="E7" s="146"/>
      <c r="F7" s="146"/>
      <c r="G7" s="366"/>
      <c r="H7" s="398"/>
      <c r="I7" s="142"/>
      <c r="J7" s="142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290"/>
      <c r="X7" s="290"/>
      <c r="Y7" s="290"/>
      <c r="Z7" s="290"/>
      <c r="AA7" s="290"/>
      <c r="AC7" s="449" t="s">
        <v>614</v>
      </c>
    </row>
    <row r="8" spans="1:29">
      <c r="A8" s="133"/>
      <c r="B8" s="142"/>
      <c r="C8" s="138"/>
      <c r="D8" s="146"/>
      <c r="E8" s="146"/>
      <c r="F8" s="146"/>
      <c r="G8" s="366"/>
      <c r="H8" s="396"/>
      <c r="I8" s="135"/>
      <c r="J8" s="395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4"/>
      <c r="X8" s="134"/>
      <c r="Y8" s="134"/>
      <c r="Z8" s="134"/>
      <c r="AA8" s="134"/>
      <c r="AC8" s="449" t="s">
        <v>656</v>
      </c>
    </row>
    <row r="9" spans="1:29">
      <c r="A9" s="133"/>
      <c r="B9" s="142"/>
      <c r="C9" s="138"/>
      <c r="D9" s="146"/>
      <c r="E9" s="146"/>
      <c r="F9" s="146"/>
      <c r="G9" s="366"/>
      <c r="H9" s="396"/>
      <c r="I9" s="135"/>
      <c r="J9" s="135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4"/>
      <c r="X9" s="134"/>
      <c r="Y9" s="134"/>
      <c r="Z9" s="134"/>
      <c r="AA9" s="134"/>
      <c r="AC9" s="449" t="s">
        <v>173</v>
      </c>
    </row>
    <row r="10" spans="1:29">
      <c r="A10" s="133"/>
      <c r="B10" s="133"/>
      <c r="C10" s="133"/>
      <c r="D10" s="146"/>
      <c r="E10" s="146"/>
      <c r="F10" s="146"/>
      <c r="G10" s="366"/>
      <c r="H10" s="396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</row>
    <row r="11" spans="1:29" ht="30" customHeight="1">
      <c r="A11" s="846" t="s">
        <v>360</v>
      </c>
      <c r="B11" s="846"/>
      <c r="C11" s="846"/>
      <c r="D11" s="846"/>
      <c r="E11" s="846"/>
      <c r="F11" s="846"/>
      <c r="G11" s="846"/>
      <c r="H11" s="846"/>
      <c r="I11" s="846"/>
      <c r="J11" s="846"/>
      <c r="K11" s="846"/>
      <c r="L11" s="846"/>
      <c r="M11" s="846"/>
      <c r="N11" s="846"/>
      <c r="O11" s="846"/>
      <c r="P11" s="846"/>
      <c r="Q11" s="846"/>
      <c r="R11" s="846"/>
      <c r="S11" s="846"/>
      <c r="T11" s="846"/>
      <c r="U11" s="846"/>
      <c r="V11" s="846"/>
      <c r="W11" s="846"/>
      <c r="X11" s="846"/>
      <c r="Y11" s="846"/>
      <c r="Z11" s="846"/>
      <c r="AA11" s="846"/>
      <c r="AB11" s="846"/>
      <c r="AC11" s="846"/>
    </row>
    <row r="12" spans="1:29" ht="26.25" customHeight="1">
      <c r="A12" s="846" t="s">
        <v>616</v>
      </c>
      <c r="B12" s="846"/>
      <c r="C12" s="846"/>
      <c r="D12" s="846"/>
      <c r="E12" s="846"/>
      <c r="F12" s="846"/>
      <c r="G12" s="846"/>
      <c r="H12" s="846"/>
      <c r="I12" s="846"/>
      <c r="J12" s="846"/>
      <c r="K12" s="846"/>
      <c r="L12" s="846"/>
      <c r="M12" s="846"/>
      <c r="N12" s="846"/>
      <c r="O12" s="846"/>
      <c r="P12" s="846"/>
      <c r="Q12" s="846"/>
      <c r="R12" s="846"/>
      <c r="S12" s="846"/>
      <c r="T12" s="846"/>
      <c r="U12" s="846"/>
      <c r="V12" s="846"/>
      <c r="W12" s="846"/>
      <c r="X12" s="846"/>
      <c r="Y12" s="846"/>
      <c r="Z12" s="846"/>
      <c r="AA12" s="846"/>
      <c r="AB12" s="846"/>
      <c r="AC12" s="846"/>
    </row>
    <row r="13" spans="1:29">
      <c r="A13" s="396"/>
      <c r="B13" s="396"/>
      <c r="C13" s="396"/>
      <c r="D13" s="396"/>
      <c r="E13" s="396"/>
      <c r="F13" s="396"/>
      <c r="G13" s="396"/>
      <c r="H13" s="396"/>
      <c r="I13" s="396"/>
      <c r="J13" s="396"/>
      <c r="K13" s="396"/>
      <c r="L13" s="396"/>
      <c r="M13" s="396"/>
      <c r="N13" s="396"/>
      <c r="O13" s="396"/>
      <c r="P13" s="396"/>
      <c r="Q13" s="396"/>
      <c r="R13" s="396"/>
      <c r="S13" s="396"/>
      <c r="T13" s="396"/>
      <c r="U13" s="396"/>
      <c r="V13" s="396"/>
      <c r="W13" s="396"/>
      <c r="X13" s="396"/>
      <c r="Y13" s="396"/>
      <c r="Z13" s="396"/>
      <c r="AA13" s="396"/>
      <c r="AB13" s="396"/>
      <c r="AC13" s="396"/>
    </row>
    <row r="14" spans="1:29">
      <c r="X14" s="349"/>
      <c r="Y14" s="349"/>
      <c r="Z14" s="349"/>
      <c r="AA14" s="349"/>
      <c r="AB14" s="349"/>
      <c r="AC14" s="349"/>
    </row>
    <row r="15" spans="1:29" ht="20.25" customHeight="1">
      <c r="A15" s="841" t="s">
        <v>266</v>
      </c>
      <c r="B15" s="841" t="s">
        <v>438</v>
      </c>
      <c r="C15" s="841" t="s">
        <v>119</v>
      </c>
      <c r="D15" s="841" t="s">
        <v>122</v>
      </c>
      <c r="E15" s="841"/>
      <c r="F15" s="959" t="s">
        <v>505</v>
      </c>
      <c r="G15" s="841" t="s">
        <v>403</v>
      </c>
      <c r="H15" s="841" t="s">
        <v>404</v>
      </c>
      <c r="I15" s="845" t="s">
        <v>405</v>
      </c>
      <c r="J15" s="845" t="s">
        <v>481</v>
      </c>
      <c r="K15" s="845" t="s">
        <v>657</v>
      </c>
      <c r="L15" s="842" t="s">
        <v>81</v>
      </c>
      <c r="M15" s="844"/>
      <c r="N15" s="844"/>
      <c r="O15" s="844"/>
      <c r="P15" s="844"/>
      <c r="Q15" s="844"/>
      <c r="R15" s="844"/>
      <c r="S15" s="844"/>
      <c r="T15" s="844"/>
      <c r="U15" s="844"/>
      <c r="V15" s="844"/>
      <c r="W15" s="843"/>
      <c r="X15" s="847" t="s">
        <v>175</v>
      </c>
      <c r="Y15" s="848"/>
      <c r="Z15" s="848"/>
      <c r="AA15" s="848"/>
      <c r="AB15" s="848"/>
      <c r="AC15" s="849"/>
    </row>
    <row r="16" spans="1:29" ht="89.25" customHeight="1">
      <c r="A16" s="841"/>
      <c r="B16" s="841"/>
      <c r="C16" s="841"/>
      <c r="D16" s="841"/>
      <c r="E16" s="841"/>
      <c r="F16" s="960"/>
      <c r="G16" s="841"/>
      <c r="H16" s="841"/>
      <c r="I16" s="845"/>
      <c r="J16" s="845"/>
      <c r="K16" s="845"/>
      <c r="L16" s="842" t="s">
        <v>145</v>
      </c>
      <c r="M16" s="843"/>
      <c r="N16" s="842" t="s">
        <v>146</v>
      </c>
      <c r="O16" s="843"/>
      <c r="P16" s="842" t="s">
        <v>534</v>
      </c>
      <c r="Q16" s="843"/>
      <c r="R16" s="842" t="s">
        <v>562</v>
      </c>
      <c r="S16" s="843"/>
      <c r="T16" s="842" t="s">
        <v>563</v>
      </c>
      <c r="U16" s="843"/>
      <c r="V16" s="842" t="s">
        <v>82</v>
      </c>
      <c r="W16" s="843"/>
      <c r="X16" s="551" t="s">
        <v>145</v>
      </c>
      <c r="Y16" s="551" t="s">
        <v>146</v>
      </c>
      <c r="Z16" s="551" t="s">
        <v>534</v>
      </c>
      <c r="AA16" s="551" t="s">
        <v>562</v>
      </c>
      <c r="AB16" s="551" t="s">
        <v>563</v>
      </c>
      <c r="AC16" s="552" t="s">
        <v>82</v>
      </c>
    </row>
    <row r="17" spans="1:29">
      <c r="A17" s="841"/>
      <c r="B17" s="841"/>
      <c r="C17" s="199" t="s">
        <v>120</v>
      </c>
      <c r="D17" s="199" t="s">
        <v>2</v>
      </c>
      <c r="E17" s="199" t="s">
        <v>413</v>
      </c>
      <c r="F17" s="961"/>
      <c r="G17" s="841"/>
      <c r="H17" s="841"/>
      <c r="I17" s="408" t="s">
        <v>610</v>
      </c>
      <c r="J17" s="408" t="s">
        <v>610</v>
      </c>
      <c r="K17" s="408" t="s">
        <v>610</v>
      </c>
      <c r="L17" s="199" t="s">
        <v>2</v>
      </c>
      <c r="M17" s="199" t="s">
        <v>413</v>
      </c>
      <c r="N17" s="199" t="s">
        <v>2</v>
      </c>
      <c r="O17" s="199" t="s">
        <v>413</v>
      </c>
      <c r="P17" s="199" t="s">
        <v>2</v>
      </c>
      <c r="Q17" s="199" t="s">
        <v>413</v>
      </c>
      <c r="R17" s="199" t="s">
        <v>2</v>
      </c>
      <c r="S17" s="199" t="s">
        <v>413</v>
      </c>
      <c r="T17" s="199" t="s">
        <v>2</v>
      </c>
      <c r="U17" s="199" t="s">
        <v>413</v>
      </c>
      <c r="V17" s="199" t="s">
        <v>2</v>
      </c>
      <c r="W17" s="199" t="s">
        <v>413</v>
      </c>
      <c r="X17" s="408" t="s">
        <v>610</v>
      </c>
      <c r="Y17" s="408" t="s">
        <v>610</v>
      </c>
      <c r="Z17" s="408" t="s">
        <v>610</v>
      </c>
      <c r="AA17" s="408" t="s">
        <v>610</v>
      </c>
      <c r="AB17" s="408" t="s">
        <v>610</v>
      </c>
      <c r="AC17" s="408" t="s">
        <v>610</v>
      </c>
    </row>
    <row r="18" spans="1:29" s="145" customFormat="1">
      <c r="A18" s="651">
        <v>1</v>
      </c>
      <c r="B18" s="651">
        <v>2</v>
      </c>
      <c r="C18" s="651">
        <v>3</v>
      </c>
      <c r="D18" s="850">
        <v>4</v>
      </c>
      <c r="E18" s="851"/>
      <c r="F18" s="651" t="s">
        <v>583</v>
      </c>
      <c r="G18" s="651" t="s">
        <v>584</v>
      </c>
      <c r="H18" s="651" t="s">
        <v>585</v>
      </c>
      <c r="I18" s="651" t="s">
        <v>586</v>
      </c>
      <c r="J18" s="651" t="s">
        <v>587</v>
      </c>
      <c r="K18" s="651" t="s">
        <v>487</v>
      </c>
      <c r="L18" s="850" t="s">
        <v>488</v>
      </c>
      <c r="M18" s="851"/>
      <c r="N18" s="850" t="s">
        <v>489</v>
      </c>
      <c r="O18" s="851"/>
      <c r="P18" s="850" t="s">
        <v>490</v>
      </c>
      <c r="Q18" s="851"/>
      <c r="R18" s="850" t="s">
        <v>491</v>
      </c>
      <c r="S18" s="851"/>
      <c r="T18" s="850" t="s">
        <v>492</v>
      </c>
      <c r="U18" s="851"/>
      <c r="V18" s="850" t="s">
        <v>493</v>
      </c>
      <c r="W18" s="851"/>
      <c r="X18" s="651" t="s">
        <v>535</v>
      </c>
      <c r="Y18" s="651" t="s">
        <v>579</v>
      </c>
      <c r="Z18" s="651" t="s">
        <v>580</v>
      </c>
      <c r="AA18" s="651" t="s">
        <v>581</v>
      </c>
      <c r="AB18" s="651" t="s">
        <v>582</v>
      </c>
      <c r="AC18" s="452" t="s">
        <v>588</v>
      </c>
    </row>
    <row r="19" spans="1:29" s="146" customFormat="1">
      <c r="A19" s="448"/>
      <c r="B19" s="448" t="s">
        <v>439</v>
      </c>
      <c r="C19" s="649"/>
      <c r="D19" s="650">
        <f>D20+D36</f>
        <v>13.353999999999999</v>
      </c>
      <c r="E19" s="650">
        <f>E20+E36</f>
        <v>40</v>
      </c>
      <c r="F19" s="197">
        <f>F20+F36</f>
        <v>275.59999999999997</v>
      </c>
      <c r="G19" s="198"/>
      <c r="H19" s="650"/>
      <c r="I19" s="513">
        <f t="shared" ref="I19:U19" si="0">I20+I36</f>
        <v>174.094431265</v>
      </c>
      <c r="J19" s="513">
        <f t="shared" si="0"/>
        <v>162.72834926499999</v>
      </c>
      <c r="K19" s="513">
        <f t="shared" si="0"/>
        <v>44.750319999999995</v>
      </c>
      <c r="L19" s="513">
        <f t="shared" si="0"/>
        <v>0</v>
      </c>
      <c r="M19" s="513">
        <f t="shared" si="0"/>
        <v>0</v>
      </c>
      <c r="N19" s="513">
        <f t="shared" si="0"/>
        <v>0</v>
      </c>
      <c r="O19" s="513">
        <f t="shared" si="0"/>
        <v>20</v>
      </c>
      <c r="P19" s="513">
        <f t="shared" si="0"/>
        <v>0</v>
      </c>
      <c r="Q19" s="513">
        <f t="shared" si="0"/>
        <v>10</v>
      </c>
      <c r="R19" s="513">
        <f t="shared" si="0"/>
        <v>13.353999999999999</v>
      </c>
      <c r="S19" s="513">
        <f t="shared" si="0"/>
        <v>10</v>
      </c>
      <c r="T19" s="513">
        <f t="shared" si="0"/>
        <v>0</v>
      </c>
      <c r="U19" s="513">
        <f t="shared" si="0"/>
        <v>0</v>
      </c>
      <c r="V19" s="513">
        <f>L19+N19+P19+R19+T19</f>
        <v>13.353999999999999</v>
      </c>
      <c r="W19" s="513">
        <f>M19+O19+Q19+S19+U19</f>
        <v>40</v>
      </c>
      <c r="X19" s="513">
        <f t="shared" ref="X19:AC19" si="1">X20+X36</f>
        <v>11.366082</v>
      </c>
      <c r="Y19" s="513">
        <f t="shared" si="1"/>
        <v>44.750319999999995</v>
      </c>
      <c r="Z19" s="513">
        <f t="shared" si="1"/>
        <v>57.067484629999996</v>
      </c>
      <c r="AA19" s="513">
        <f t="shared" si="1"/>
        <v>57.901544635</v>
      </c>
      <c r="AB19" s="513">
        <f t="shared" si="1"/>
        <v>3.0090000000000003</v>
      </c>
      <c r="AC19" s="513">
        <f t="shared" si="1"/>
        <v>174.094431265</v>
      </c>
    </row>
    <row r="20" spans="1:29" s="133" customFormat="1" ht="40.5">
      <c r="A20" s="448">
        <v>1</v>
      </c>
      <c r="B20" s="155" t="s">
        <v>163</v>
      </c>
      <c r="C20" s="649"/>
      <c r="D20" s="650">
        <f>D27+D31+D35</f>
        <v>13.353999999999999</v>
      </c>
      <c r="E20" s="650">
        <f>E27+E31+E35</f>
        <v>40</v>
      </c>
      <c r="F20" s="197">
        <f>F27+F31+F35</f>
        <v>275.59999999999997</v>
      </c>
      <c r="G20" s="650"/>
      <c r="H20" s="650"/>
      <c r="I20" s="513">
        <f t="shared" ref="I20:U20" si="2">SUM(I27,I31,I35)</f>
        <v>174.094431265</v>
      </c>
      <c r="J20" s="513">
        <f t="shared" si="2"/>
        <v>162.72834926499999</v>
      </c>
      <c r="K20" s="513">
        <f t="shared" si="2"/>
        <v>44.750319999999995</v>
      </c>
      <c r="L20" s="513">
        <f t="shared" si="2"/>
        <v>0</v>
      </c>
      <c r="M20" s="513">
        <f t="shared" si="2"/>
        <v>0</v>
      </c>
      <c r="N20" s="513">
        <f t="shared" si="2"/>
        <v>0</v>
      </c>
      <c r="O20" s="513">
        <f t="shared" si="2"/>
        <v>20</v>
      </c>
      <c r="P20" s="513">
        <f t="shared" si="2"/>
        <v>0</v>
      </c>
      <c r="Q20" s="513">
        <f t="shared" si="2"/>
        <v>10</v>
      </c>
      <c r="R20" s="513">
        <f t="shared" si="2"/>
        <v>13.353999999999999</v>
      </c>
      <c r="S20" s="513">
        <f t="shared" si="2"/>
        <v>10</v>
      </c>
      <c r="T20" s="513">
        <f t="shared" si="2"/>
        <v>0</v>
      </c>
      <c r="U20" s="513">
        <f t="shared" si="2"/>
        <v>0</v>
      </c>
      <c r="V20" s="513">
        <f>L20+N20+P20+R20+T20</f>
        <v>13.353999999999999</v>
      </c>
      <c r="W20" s="513">
        <f>M20+O20+Q20+S20+U20</f>
        <v>40</v>
      </c>
      <c r="X20" s="513">
        <f t="shared" ref="X20:AC20" si="3">SUM(X27,X31,X35)</f>
        <v>11.366082</v>
      </c>
      <c r="Y20" s="513">
        <f t="shared" si="3"/>
        <v>44.750319999999995</v>
      </c>
      <c r="Z20" s="513">
        <f t="shared" si="3"/>
        <v>57.067484629999996</v>
      </c>
      <c r="AA20" s="513">
        <f t="shared" si="3"/>
        <v>57.901544635</v>
      </c>
      <c r="AB20" s="513">
        <f t="shared" si="3"/>
        <v>3.0090000000000003</v>
      </c>
      <c r="AC20" s="513">
        <f t="shared" si="3"/>
        <v>174.094431265</v>
      </c>
    </row>
    <row r="21" spans="1:29" ht="60.75">
      <c r="A21" s="156" t="s">
        <v>253</v>
      </c>
      <c r="B21" s="155" t="s">
        <v>160</v>
      </c>
      <c r="C21" s="649"/>
      <c r="D21" s="650"/>
      <c r="E21" s="650"/>
      <c r="F21" s="658"/>
      <c r="G21" s="650"/>
      <c r="H21" s="650"/>
      <c r="I21" s="512"/>
      <c r="J21" s="513"/>
      <c r="K21" s="513"/>
      <c r="L21" s="513"/>
      <c r="M21" s="513"/>
      <c r="N21" s="513"/>
      <c r="O21" s="513"/>
      <c r="P21" s="513"/>
      <c r="Q21" s="513"/>
      <c r="R21" s="513"/>
      <c r="S21" s="513"/>
      <c r="T21" s="513"/>
      <c r="U21" s="513"/>
      <c r="V21" s="513"/>
      <c r="W21" s="513"/>
      <c r="X21" s="634"/>
      <c r="Y21" s="634"/>
      <c r="Z21" s="634"/>
      <c r="AA21" s="634"/>
      <c r="AB21" s="634"/>
      <c r="AC21" s="634"/>
    </row>
    <row r="22" spans="1:29">
      <c r="A22" s="156" t="s">
        <v>277</v>
      </c>
      <c r="B22" s="155" t="s">
        <v>528</v>
      </c>
      <c r="C22" s="649"/>
      <c r="D22" s="650"/>
      <c r="E22" s="650"/>
      <c r="F22" s="658"/>
      <c r="G22" s="650"/>
      <c r="H22" s="650"/>
      <c r="I22" s="512"/>
      <c r="J22" s="513"/>
      <c r="K22" s="513"/>
      <c r="L22" s="513"/>
      <c r="M22" s="513"/>
      <c r="N22" s="513"/>
      <c r="O22" s="513"/>
      <c r="P22" s="513"/>
      <c r="Q22" s="513"/>
      <c r="R22" s="513"/>
      <c r="S22" s="513"/>
      <c r="T22" s="513"/>
      <c r="U22" s="513"/>
      <c r="V22" s="513"/>
      <c r="W22" s="513"/>
      <c r="X22" s="634"/>
      <c r="Y22" s="634"/>
      <c r="Z22" s="634"/>
      <c r="AA22" s="634"/>
      <c r="AB22" s="634"/>
      <c r="AC22" s="634"/>
    </row>
    <row r="23" spans="1:29" ht="101.25">
      <c r="A23" s="358" t="str">
        <f>'приложение 1.1 '!A23</f>
        <v>1.1.1.1</v>
      </c>
      <c r="B23" s="488" t="str">
        <f>'приложение 1.1 '!B23</f>
        <v>Реконструкция ПС №68 -35/6кВ (Замена тр-ров 1TONb 4000/35/6кВА на 1ТД 10000/35/6кВА; 1ЗРУ-6кВ на 1КРУ-6кВ)</v>
      </c>
      <c r="C23" s="199" t="s">
        <v>390</v>
      </c>
      <c r="D23" s="408">
        <f>'приложение 1.1 '!D23</f>
        <v>0</v>
      </c>
      <c r="E23" s="408">
        <f>'приложение 1.1 '!E23</f>
        <v>20</v>
      </c>
      <c r="F23" s="408">
        <f>205*0.3445</f>
        <v>70.622499999999988</v>
      </c>
      <c r="G23" s="837">
        <f>'приложение 1.1 '!F23</f>
        <v>2016</v>
      </c>
      <c r="H23" s="837">
        <f>'приложение 1.1 '!G23</f>
        <v>2018</v>
      </c>
      <c r="I23" s="408">
        <f>'приложение 1.1 '!H23</f>
        <v>82.6</v>
      </c>
      <c r="J23" s="408">
        <f>'приложение 1.1 '!I23</f>
        <v>71.233917999999989</v>
      </c>
      <c r="K23" s="408">
        <f>'приложение 1.1 '!J23</f>
        <v>44.750319999999995</v>
      </c>
      <c r="L23" s="408">
        <f>'приложение 1.1 '!K23</f>
        <v>0</v>
      </c>
      <c r="M23" s="408">
        <f>'приложение 1.1 '!L23</f>
        <v>0</v>
      </c>
      <c r="N23" s="408">
        <f>'приложение 1.1 '!M23</f>
        <v>0</v>
      </c>
      <c r="O23" s="408">
        <f>'приложение 1.1 '!N23</f>
        <v>20</v>
      </c>
      <c r="P23" s="408">
        <f>'приложение 1.1 '!O23</f>
        <v>0</v>
      </c>
      <c r="Q23" s="408">
        <f>'приложение 1.1 '!P23</f>
        <v>0</v>
      </c>
      <c r="R23" s="408">
        <f>'приложение 1.1 '!Q23</f>
        <v>0</v>
      </c>
      <c r="S23" s="408">
        <f>'приложение 1.1 '!R23</f>
        <v>0</v>
      </c>
      <c r="T23" s="408">
        <f>'приложение 1.1 '!S23</f>
        <v>0</v>
      </c>
      <c r="U23" s="408">
        <f>'приложение 1.1 '!T23</f>
        <v>0</v>
      </c>
      <c r="V23" s="408">
        <f>'приложение 1.1 '!U23</f>
        <v>0</v>
      </c>
      <c r="W23" s="408">
        <f>'приложение 1.1 '!V23</f>
        <v>20</v>
      </c>
      <c r="X23" s="408">
        <f>'приложение 1.1 '!W23</f>
        <v>11.366082</v>
      </c>
      <c r="Y23" s="408">
        <f>'приложение 1.1 '!X23</f>
        <v>44.750319999999995</v>
      </c>
      <c r="Z23" s="408">
        <f>'приложение 1.1 '!Y23</f>
        <v>26.483598000000001</v>
      </c>
      <c r="AA23" s="408">
        <f>'приложение 1.1 '!Z23</f>
        <v>0</v>
      </c>
      <c r="AB23" s="408">
        <f>'приложение 1.1 '!AA23</f>
        <v>0</v>
      </c>
      <c r="AC23" s="408">
        <f>'приложение 1.1 '!AB23</f>
        <v>82.6</v>
      </c>
    </row>
    <row r="24" spans="1:29" ht="101.25">
      <c r="A24" s="358" t="str">
        <f>'приложение 1.1 '!A24</f>
        <v>1.1.1.2</v>
      </c>
      <c r="B24" s="488" t="str">
        <f>'приложение 1.1 '!B24</f>
        <v>Реконструкция ПС №121 -35/6кВ (Замена тр-ров 2TONb 4000/35/6кВА на 2ТД 10000/35/6кВА; 2ЗРУ-6кВ на 2КРУ-6кВ)</v>
      </c>
      <c r="C24" s="199" t="s">
        <v>390</v>
      </c>
      <c r="D24" s="408">
        <f>'приложение 1.1 '!D24</f>
        <v>0</v>
      </c>
      <c r="E24" s="408">
        <f>'приложение 1.1 '!E24</f>
        <v>20</v>
      </c>
      <c r="F24" s="408">
        <f>330*0.3445</f>
        <v>113.68499999999999</v>
      </c>
      <c r="G24" s="837">
        <f>'приложение 1.1 '!F24</f>
        <v>2018</v>
      </c>
      <c r="H24" s="837">
        <f>'приложение 1.1 '!G24</f>
        <v>2019</v>
      </c>
      <c r="I24" s="408">
        <f>'приложение 1.1 '!H24</f>
        <v>76.977455305000007</v>
      </c>
      <c r="J24" s="408">
        <f>'приложение 1.1 '!I24</f>
        <v>76.977455305000007</v>
      </c>
      <c r="K24" s="408">
        <f>'приложение 1.1 '!J24</f>
        <v>0</v>
      </c>
      <c r="L24" s="408">
        <f>'приложение 1.1 '!K24</f>
        <v>0</v>
      </c>
      <c r="M24" s="408">
        <f>'приложение 1.1 '!L24</f>
        <v>0</v>
      </c>
      <c r="N24" s="408">
        <f>'приложение 1.1 '!M24</f>
        <v>0</v>
      </c>
      <c r="O24" s="408">
        <f>'приложение 1.1 '!N24</f>
        <v>0</v>
      </c>
      <c r="P24" s="408">
        <f>'приложение 1.1 '!O24</f>
        <v>0</v>
      </c>
      <c r="Q24" s="408">
        <f>'приложение 1.1 '!P24</f>
        <v>10</v>
      </c>
      <c r="R24" s="408">
        <f>'приложение 1.1 '!Q24</f>
        <v>0</v>
      </c>
      <c r="S24" s="408">
        <f>'приложение 1.1 '!R24</f>
        <v>10</v>
      </c>
      <c r="T24" s="408">
        <f>'приложение 1.1 '!S24</f>
        <v>0</v>
      </c>
      <c r="U24" s="408">
        <f>'приложение 1.1 '!T24</f>
        <v>0</v>
      </c>
      <c r="V24" s="408">
        <f>'приложение 1.1 '!U24</f>
        <v>0</v>
      </c>
      <c r="W24" s="408">
        <f>'приложение 1.1 '!V24</f>
        <v>20</v>
      </c>
      <c r="X24" s="408">
        <f>'приложение 1.1 '!W24</f>
        <v>0</v>
      </c>
      <c r="Y24" s="408">
        <f>'приложение 1.1 '!X24</f>
        <v>0</v>
      </c>
      <c r="Z24" s="408">
        <f>'приложение 1.1 '!Y24</f>
        <v>29.47940663</v>
      </c>
      <c r="AA24" s="408">
        <f>'приложение 1.1 '!Z24</f>
        <v>47.498048675</v>
      </c>
      <c r="AB24" s="408">
        <f>'приложение 1.1 '!AA24</f>
        <v>0</v>
      </c>
      <c r="AC24" s="408">
        <f>'приложение 1.1 '!AB24</f>
        <v>76.977455305000007</v>
      </c>
    </row>
    <row r="25" spans="1:29">
      <c r="A25" s="156" t="str">
        <f>'приложение 1.1 '!A25</f>
        <v>1.1.2.</v>
      </c>
      <c r="B25" s="489" t="str">
        <f>'приложение 1.1 '!B25</f>
        <v>Воздушные линии 35/6кВ</v>
      </c>
      <c r="C25" s="199"/>
      <c r="D25" s="408"/>
      <c r="E25" s="408"/>
      <c r="F25" s="408"/>
      <c r="G25" s="837"/>
      <c r="H25" s="837"/>
      <c r="I25" s="512"/>
      <c r="J25" s="512"/>
      <c r="K25" s="512"/>
      <c r="L25" s="512"/>
      <c r="M25" s="512"/>
      <c r="N25" s="512"/>
      <c r="O25" s="512"/>
      <c r="P25" s="512"/>
      <c r="Q25" s="512"/>
      <c r="R25" s="512"/>
      <c r="S25" s="512"/>
      <c r="T25" s="512"/>
      <c r="U25" s="512"/>
      <c r="V25" s="513"/>
      <c r="W25" s="513"/>
      <c r="X25" s="634"/>
      <c r="Y25" s="634"/>
      <c r="Z25" s="634"/>
      <c r="AA25" s="634"/>
      <c r="AB25" s="634"/>
      <c r="AC25" s="634"/>
    </row>
    <row r="26" spans="1:29" ht="60.75">
      <c r="A26" s="358" t="str">
        <f>'приложение 1.1 '!A26</f>
        <v>1.1.2.1</v>
      </c>
      <c r="B26" s="488" t="str">
        <f>'приложение 1.1 '!B26</f>
        <v>Реконструкция ВЛ-35кВ от ВЛ-35 кВ "Восточный-1,2" до ПС 35/6 кВ "121,68"</v>
      </c>
      <c r="C26" s="199" t="s">
        <v>390</v>
      </c>
      <c r="D26" s="408">
        <f>'приложение 1.1 '!D26</f>
        <v>13.353999999999999</v>
      </c>
      <c r="E26" s="408">
        <f>'приложение 1.1 '!E26</f>
        <v>0</v>
      </c>
      <c r="F26" s="408">
        <f>165*0.3445</f>
        <v>56.842499999999994</v>
      </c>
      <c r="G26" s="837">
        <f>'приложение 1.1 '!F26</f>
        <v>2019</v>
      </c>
      <c r="H26" s="837">
        <f>'приложение 1.1 '!G26</f>
        <v>2019</v>
      </c>
      <c r="I26" s="408">
        <f>'приложение 1.1 '!H26</f>
        <v>6.6369359599999997</v>
      </c>
      <c r="J26" s="408">
        <f>'приложение 1.1 '!I26</f>
        <v>6.6369359599999997</v>
      </c>
      <c r="K26" s="408">
        <f>'приложение 1.1 '!J26</f>
        <v>0</v>
      </c>
      <c r="L26" s="408" t="str">
        <f>'приложение 1.1 '!K26</f>
        <v>0,00</v>
      </c>
      <c r="M26" s="408" t="str">
        <f>'приложение 1.1 '!L26</f>
        <v>0,00</v>
      </c>
      <c r="N26" s="408" t="str">
        <f>'приложение 1.1 '!M26</f>
        <v>0,00</v>
      </c>
      <c r="O26" s="408" t="str">
        <f>'приложение 1.1 '!N26</f>
        <v>0,00</v>
      </c>
      <c r="P26" s="408" t="str">
        <f>'приложение 1.1 '!O26</f>
        <v>0,00</v>
      </c>
      <c r="Q26" s="408" t="str">
        <f>'приложение 1.1 '!P26</f>
        <v>0,00</v>
      </c>
      <c r="R26" s="408">
        <f>'приложение 1.1 '!Q26</f>
        <v>13.353999999999999</v>
      </c>
      <c r="S26" s="408">
        <f>'приложение 1.1 '!R26</f>
        <v>0</v>
      </c>
      <c r="T26" s="408" t="str">
        <f>'приложение 1.1 '!S26</f>
        <v>0,00</v>
      </c>
      <c r="U26" s="408" t="str">
        <f>'приложение 1.1 '!T26</f>
        <v>0,00</v>
      </c>
      <c r="V26" s="408" t="e">
        <f>'приложение 1.1 '!U26</f>
        <v>#VALUE!</v>
      </c>
      <c r="W26" s="408" t="e">
        <f>'приложение 1.1 '!V26</f>
        <v>#VALUE!</v>
      </c>
      <c r="X26" s="408">
        <f>'приложение 1.1 '!W26</f>
        <v>0</v>
      </c>
      <c r="Y26" s="408">
        <f>'приложение 1.1 '!X26</f>
        <v>0</v>
      </c>
      <c r="Z26" s="408">
        <f>'приложение 1.1 '!Y26</f>
        <v>0</v>
      </c>
      <c r="AA26" s="408">
        <f>'приложение 1.1 '!Z26</f>
        <v>6.6369359599999997</v>
      </c>
      <c r="AB26" s="408">
        <f>'приложение 1.1 '!AA26</f>
        <v>0</v>
      </c>
      <c r="AC26" s="408">
        <f>'приложение 1.1 '!AB26</f>
        <v>6.6369359599999997</v>
      </c>
    </row>
    <row r="27" spans="1:29">
      <c r="A27" s="358"/>
      <c r="B27" s="489" t="str">
        <f>'приложение 1.1 '!B27</f>
        <v>Итого по разделу 1.1.1.</v>
      </c>
      <c r="C27" s="199"/>
      <c r="D27" s="513">
        <f t="shared" ref="D27:E27" si="4">SUM(D23:D26)</f>
        <v>13.353999999999999</v>
      </c>
      <c r="E27" s="513">
        <f t="shared" si="4"/>
        <v>40</v>
      </c>
      <c r="F27" s="513">
        <f>SUM(F23:F26)</f>
        <v>241.14999999999998</v>
      </c>
      <c r="G27" s="838"/>
      <c r="H27" s="838"/>
      <c r="I27" s="513">
        <f t="shared" ref="I27:V27" si="5">SUM(I23:I26)</f>
        <v>166.21439126499999</v>
      </c>
      <c r="J27" s="513">
        <f t="shared" si="5"/>
        <v>154.84830926499998</v>
      </c>
      <c r="K27" s="513">
        <f t="shared" si="5"/>
        <v>44.750319999999995</v>
      </c>
      <c r="L27" s="513">
        <f t="shared" si="5"/>
        <v>0</v>
      </c>
      <c r="M27" s="513">
        <f t="shared" si="5"/>
        <v>0</v>
      </c>
      <c r="N27" s="513">
        <f t="shared" si="5"/>
        <v>0</v>
      </c>
      <c r="O27" s="513">
        <f t="shared" si="5"/>
        <v>20</v>
      </c>
      <c r="P27" s="513">
        <f t="shared" si="5"/>
        <v>0</v>
      </c>
      <c r="Q27" s="513">
        <f t="shared" si="5"/>
        <v>10</v>
      </c>
      <c r="R27" s="513">
        <f t="shared" si="5"/>
        <v>13.353999999999999</v>
      </c>
      <c r="S27" s="513">
        <f t="shared" si="5"/>
        <v>10</v>
      </c>
      <c r="T27" s="513">
        <f t="shared" si="5"/>
        <v>0</v>
      </c>
      <c r="U27" s="513">
        <f t="shared" si="5"/>
        <v>0</v>
      </c>
      <c r="V27" s="513" t="e">
        <f t="shared" si="5"/>
        <v>#VALUE!</v>
      </c>
      <c r="W27" s="513" t="e">
        <f>SUM(W23:W26)</f>
        <v>#VALUE!</v>
      </c>
      <c r="X27" s="513">
        <f>SUM(X23:X26)</f>
        <v>11.366082</v>
      </c>
      <c r="Y27" s="513">
        <f t="shared" ref="Y27:AB27" si="6">SUM(Y23:Y26)</f>
        <v>44.750319999999995</v>
      </c>
      <c r="Z27" s="513">
        <f t="shared" si="6"/>
        <v>55.96300463</v>
      </c>
      <c r="AA27" s="513">
        <f t="shared" si="6"/>
        <v>54.134984635000002</v>
      </c>
      <c r="AB27" s="513">
        <f t="shared" si="6"/>
        <v>0</v>
      </c>
      <c r="AC27" s="513">
        <f>SUM(AC23:AC26)</f>
        <v>166.21439126499999</v>
      </c>
    </row>
    <row r="28" spans="1:29" ht="40.5">
      <c r="A28" s="156" t="str">
        <f>'приложение 1.1 '!A28</f>
        <v>1.2.</v>
      </c>
      <c r="B28" s="489" t="str">
        <f>'приложение 1.1 '!B28</f>
        <v xml:space="preserve">Создание систем телемеханики и связи </v>
      </c>
      <c r="C28" s="199"/>
      <c r="D28" s="408"/>
      <c r="E28" s="408"/>
      <c r="F28" s="408"/>
      <c r="G28" s="837"/>
      <c r="H28" s="837"/>
      <c r="I28" s="512"/>
      <c r="J28" s="512"/>
      <c r="K28" s="513"/>
      <c r="L28" s="513"/>
      <c r="M28" s="513"/>
      <c r="N28" s="513"/>
      <c r="O28" s="513"/>
      <c r="P28" s="513"/>
      <c r="Q28" s="513"/>
      <c r="R28" s="512"/>
      <c r="S28" s="512"/>
      <c r="T28" s="513"/>
      <c r="U28" s="513"/>
      <c r="V28" s="513"/>
      <c r="W28" s="513"/>
      <c r="X28" s="512"/>
      <c r="Y28" s="512"/>
      <c r="Z28" s="512"/>
      <c r="AA28" s="512"/>
      <c r="AB28" s="512"/>
      <c r="AC28" s="512"/>
    </row>
    <row r="29" spans="1:29" ht="40.5">
      <c r="A29" s="358" t="str">
        <f>'приложение 1.1 '!A29</f>
        <v>1.2.1.</v>
      </c>
      <c r="B29" s="488" t="str">
        <f>'приложение 1.1 '!B29</f>
        <v>Монтаж системы телемеханики на ПС №68 -35/6кВ</v>
      </c>
      <c r="C29" s="199" t="s">
        <v>411</v>
      </c>
      <c r="D29" s="408"/>
      <c r="E29" s="408"/>
      <c r="F29" s="408">
        <f>50*0.3445</f>
        <v>17.224999999999998</v>
      </c>
      <c r="G29" s="516">
        <f>'приложение 1.1 '!F29</f>
        <v>2018</v>
      </c>
      <c r="H29" s="837">
        <f>'приложение 1.1 '!G29</f>
        <v>2019</v>
      </c>
      <c r="I29" s="408">
        <f>'приложение 1.1 '!H29</f>
        <v>3.1824600000000003</v>
      </c>
      <c r="J29" s="408">
        <f>'приложение 1.1 '!I29</f>
        <v>3.1824600000000003</v>
      </c>
      <c r="K29" s="408">
        <f>'приложение 1.1 '!J29</f>
        <v>0</v>
      </c>
      <c r="L29" s="408" t="str">
        <f>'приложение 1.1 '!K29</f>
        <v>0,00</v>
      </c>
      <c r="M29" s="408" t="str">
        <f>'приложение 1.1 '!L29</f>
        <v>0,00</v>
      </c>
      <c r="N29" s="408" t="str">
        <f>'приложение 1.1 '!M29</f>
        <v>0,00</v>
      </c>
      <c r="O29" s="408" t="str">
        <f>'приложение 1.1 '!N29</f>
        <v>0,00</v>
      </c>
      <c r="P29" s="408" t="str">
        <f>'приложение 1.1 '!O29</f>
        <v>0,00</v>
      </c>
      <c r="Q29" s="408" t="str">
        <f>'приложение 1.1 '!P29</f>
        <v>0,00</v>
      </c>
      <c r="R29" s="408">
        <f>'приложение 1.1 '!Q29</f>
        <v>0</v>
      </c>
      <c r="S29" s="408">
        <f>'приложение 1.1 '!R29</f>
        <v>0</v>
      </c>
      <c r="T29" s="408" t="str">
        <f>'приложение 1.1 '!S29</f>
        <v>0,00</v>
      </c>
      <c r="U29" s="408" t="str">
        <f>'приложение 1.1 '!T29</f>
        <v>0,00</v>
      </c>
      <c r="V29" s="408" t="e">
        <f>'приложение 1.1 '!U29</f>
        <v>#VALUE!</v>
      </c>
      <c r="W29" s="408" t="e">
        <f>'приложение 1.1 '!V29</f>
        <v>#VALUE!</v>
      </c>
      <c r="X29" s="408">
        <f>'приложение 1.1 '!W29</f>
        <v>0</v>
      </c>
      <c r="Y29" s="408">
        <f>'приложение 1.1 '!X29</f>
        <v>0</v>
      </c>
      <c r="Z29" s="408">
        <f>'приложение 1.1 '!Y29</f>
        <v>0.17346</v>
      </c>
      <c r="AA29" s="408">
        <f>'приложение 1.1 '!Z29</f>
        <v>3.0090000000000003</v>
      </c>
      <c r="AB29" s="408">
        <f>'приложение 1.1 '!AA29</f>
        <v>0</v>
      </c>
      <c r="AC29" s="408">
        <f>'приложение 1.1 '!AB29</f>
        <v>3.1824600000000003</v>
      </c>
    </row>
    <row r="30" spans="1:29" ht="40.5">
      <c r="A30" s="358" t="str">
        <f>'приложение 1.1 '!A30</f>
        <v>1.2.2.</v>
      </c>
      <c r="B30" s="488" t="str">
        <f>'приложение 1.1 '!B30</f>
        <v>Монтаж системы телемеханики на ПС №121-35/6кВ</v>
      </c>
      <c r="C30" s="199" t="s">
        <v>411</v>
      </c>
      <c r="D30" s="408"/>
      <c r="E30" s="408"/>
      <c r="F30" s="408">
        <f>50*0.3445</f>
        <v>17.224999999999998</v>
      </c>
      <c r="G30" s="516">
        <f>'приложение 1.1 '!F30</f>
        <v>2018</v>
      </c>
      <c r="H30" s="837">
        <f>'приложение 1.1 '!G30</f>
        <v>2020</v>
      </c>
      <c r="I30" s="408">
        <f>'приложение 1.1 '!H30</f>
        <v>3.1824600000000003</v>
      </c>
      <c r="J30" s="408">
        <f>'приложение 1.1 '!I30</f>
        <v>3.1824600000000003</v>
      </c>
      <c r="K30" s="408">
        <f>'приложение 1.1 '!J30</f>
        <v>0</v>
      </c>
      <c r="L30" s="408" t="str">
        <f>'приложение 1.1 '!K30</f>
        <v>0,00</v>
      </c>
      <c r="M30" s="408" t="str">
        <f>'приложение 1.1 '!L30</f>
        <v>0,00</v>
      </c>
      <c r="N30" s="408" t="str">
        <f>'приложение 1.1 '!M30</f>
        <v>0,00</v>
      </c>
      <c r="O30" s="408" t="str">
        <f>'приложение 1.1 '!N30</f>
        <v>0,00</v>
      </c>
      <c r="P30" s="408" t="str">
        <f>'приложение 1.1 '!O30</f>
        <v>0,00</v>
      </c>
      <c r="Q30" s="408" t="str">
        <f>'приложение 1.1 '!P30</f>
        <v>0,00</v>
      </c>
      <c r="R30" s="408" t="str">
        <f>'приложение 1.1 '!Q30</f>
        <v>0,00</v>
      </c>
      <c r="S30" s="408" t="str">
        <f>'приложение 1.1 '!R30</f>
        <v>0,00</v>
      </c>
      <c r="T30" s="408">
        <f>'приложение 1.1 '!S30</f>
        <v>0</v>
      </c>
      <c r="U30" s="408">
        <f>'приложение 1.1 '!T30</f>
        <v>0</v>
      </c>
      <c r="V30" s="408" t="e">
        <f>'приложение 1.1 '!U30</f>
        <v>#VALUE!</v>
      </c>
      <c r="W30" s="408" t="e">
        <f>'приложение 1.1 '!V30</f>
        <v>#VALUE!</v>
      </c>
      <c r="X30" s="408">
        <f>'приложение 1.1 '!W30</f>
        <v>0</v>
      </c>
      <c r="Y30" s="408">
        <f>'приложение 1.1 '!X30</f>
        <v>0</v>
      </c>
      <c r="Z30" s="408">
        <f>'приложение 1.1 '!Y30</f>
        <v>0.17346</v>
      </c>
      <c r="AA30" s="408">
        <f>'приложение 1.1 '!Z30</f>
        <v>0</v>
      </c>
      <c r="AB30" s="408">
        <f>'приложение 1.1 '!AA30</f>
        <v>3.0090000000000003</v>
      </c>
      <c r="AC30" s="408">
        <f>'приложение 1.1 '!AB30</f>
        <v>3.1824600000000003</v>
      </c>
    </row>
    <row r="31" spans="1:29">
      <c r="A31" s="358"/>
      <c r="B31" s="489" t="str">
        <f>'приложение 1.1 '!B31</f>
        <v>Итого по разделу 1.2.</v>
      </c>
      <c r="C31" s="514"/>
      <c r="D31" s="513">
        <f t="shared" ref="D31:E31" si="7">SUM(D29:D30)</f>
        <v>0</v>
      </c>
      <c r="E31" s="513">
        <f t="shared" si="7"/>
        <v>0</v>
      </c>
      <c r="F31" s="513">
        <f t="shared" ref="F31" si="8">SUM(F29:F30)</f>
        <v>34.449999999999996</v>
      </c>
      <c r="G31" s="838"/>
      <c r="H31" s="838"/>
      <c r="I31" s="513">
        <f t="shared" ref="I31:AB31" si="9">SUM(I29:I30)</f>
        <v>6.3649200000000006</v>
      </c>
      <c r="J31" s="513">
        <f t="shared" si="9"/>
        <v>6.3649200000000006</v>
      </c>
      <c r="K31" s="513">
        <f t="shared" si="9"/>
        <v>0</v>
      </c>
      <c r="L31" s="513">
        <f t="shared" si="9"/>
        <v>0</v>
      </c>
      <c r="M31" s="513">
        <f t="shared" si="9"/>
        <v>0</v>
      </c>
      <c r="N31" s="513">
        <f t="shared" si="9"/>
        <v>0</v>
      </c>
      <c r="O31" s="513">
        <f t="shared" si="9"/>
        <v>0</v>
      </c>
      <c r="P31" s="513">
        <f t="shared" si="9"/>
        <v>0</v>
      </c>
      <c r="Q31" s="513">
        <f t="shared" si="9"/>
        <v>0</v>
      </c>
      <c r="R31" s="513">
        <f t="shared" si="9"/>
        <v>0</v>
      </c>
      <c r="S31" s="513">
        <f t="shared" si="9"/>
        <v>0</v>
      </c>
      <c r="T31" s="513">
        <f t="shared" si="9"/>
        <v>0</v>
      </c>
      <c r="U31" s="513">
        <f t="shared" si="9"/>
        <v>0</v>
      </c>
      <c r="V31" s="513" t="e">
        <f t="shared" si="9"/>
        <v>#VALUE!</v>
      </c>
      <c r="W31" s="513" t="e">
        <f t="shared" si="9"/>
        <v>#VALUE!</v>
      </c>
      <c r="X31" s="513">
        <f t="shared" si="9"/>
        <v>0</v>
      </c>
      <c r="Y31" s="513">
        <f t="shared" si="9"/>
        <v>0</v>
      </c>
      <c r="Z31" s="513">
        <f t="shared" si="9"/>
        <v>0.34692000000000001</v>
      </c>
      <c r="AA31" s="513">
        <f t="shared" si="9"/>
        <v>3.0090000000000003</v>
      </c>
      <c r="AB31" s="513">
        <f t="shared" si="9"/>
        <v>3.0090000000000003</v>
      </c>
      <c r="AC31" s="513">
        <f>SUM(AC29:AC30)</f>
        <v>6.3649200000000006</v>
      </c>
    </row>
    <row r="32" spans="1:29" ht="45.75" customHeight="1">
      <c r="A32" s="156" t="str">
        <f>'приложение 1.1 '!A32</f>
        <v>1.3.</v>
      </c>
      <c r="B32" s="489" t="str">
        <f>'приложение 1.1 '!B32</f>
        <v>Монтаж системы АИИС КУЭ ПС; РП; ТП; КТПН</v>
      </c>
      <c r="C32" s="199"/>
      <c r="D32" s="408"/>
      <c r="E32" s="408"/>
      <c r="F32" s="408"/>
      <c r="G32" s="837"/>
      <c r="H32" s="837"/>
      <c r="I32" s="513"/>
      <c r="J32" s="512"/>
      <c r="K32" s="513"/>
      <c r="L32" s="513"/>
      <c r="M32" s="513"/>
      <c r="N32" s="513"/>
      <c r="O32" s="513"/>
      <c r="P32" s="513"/>
      <c r="Q32" s="513"/>
      <c r="R32" s="513"/>
      <c r="S32" s="513"/>
      <c r="T32" s="513"/>
      <c r="U32" s="513"/>
      <c r="V32" s="513"/>
      <c r="W32" s="513"/>
      <c r="X32" s="512"/>
      <c r="Y32" s="512"/>
      <c r="Z32" s="512"/>
      <c r="AA32" s="512"/>
      <c r="AB32" s="512"/>
      <c r="AC32" s="512"/>
    </row>
    <row r="33" spans="1:29" ht="49.5" customHeight="1">
      <c r="A33" s="358" t="str">
        <f>'приложение 1.1 '!A33</f>
        <v>1.3.1.</v>
      </c>
      <c r="B33" s="488" t="str">
        <f>'приложение 1.1 '!B33</f>
        <v>Монтаж системы АИИС КУЭ на ПС №68 -35/6кВ</v>
      </c>
      <c r="C33" s="199" t="s">
        <v>411</v>
      </c>
      <c r="D33" s="408"/>
      <c r="E33" s="408"/>
      <c r="F33" s="408">
        <f>50*0.3445</f>
        <v>17.224999999999998</v>
      </c>
      <c r="G33" s="516">
        <f>'приложение 1.1 '!F33</f>
        <v>2018</v>
      </c>
      <c r="H33" s="837">
        <f>'приложение 1.1 '!G33</f>
        <v>2018</v>
      </c>
      <c r="I33" s="408">
        <f>'приложение 1.1 '!H33</f>
        <v>0.7575599999999999</v>
      </c>
      <c r="J33" s="408">
        <f>'приложение 1.1 '!I33</f>
        <v>0.7575599999999999</v>
      </c>
      <c r="K33" s="408">
        <f>'приложение 1.1 '!J33</f>
        <v>0</v>
      </c>
      <c r="L33" s="408" t="str">
        <f>'приложение 1.1 '!K33</f>
        <v>0,00</v>
      </c>
      <c r="M33" s="408" t="str">
        <f>'приложение 1.1 '!L33</f>
        <v>0,00</v>
      </c>
      <c r="N33" s="408" t="str">
        <f>'приложение 1.1 '!M33</f>
        <v>0,00</v>
      </c>
      <c r="O33" s="408" t="str">
        <f>'приложение 1.1 '!N33</f>
        <v>0,00</v>
      </c>
      <c r="P33" s="408">
        <f>'приложение 1.1 '!O33</f>
        <v>0</v>
      </c>
      <c r="Q33" s="408">
        <f>'приложение 1.1 '!P33</f>
        <v>0</v>
      </c>
      <c r="R33" s="408" t="str">
        <f>'приложение 1.1 '!Q33</f>
        <v>0,00</v>
      </c>
      <c r="S33" s="408" t="str">
        <f>'приложение 1.1 '!R33</f>
        <v>0,00</v>
      </c>
      <c r="T33" s="408" t="str">
        <f>'приложение 1.1 '!S33</f>
        <v>0,00</v>
      </c>
      <c r="U33" s="408" t="str">
        <f>'приложение 1.1 '!T33</f>
        <v>0,00</v>
      </c>
      <c r="V33" s="408" t="e">
        <f>'приложение 1.1 '!U33</f>
        <v>#VALUE!</v>
      </c>
      <c r="W33" s="408" t="e">
        <f>'приложение 1.1 '!V33</f>
        <v>#VALUE!</v>
      </c>
      <c r="X33" s="408">
        <f>'приложение 1.1 '!W33</f>
        <v>0</v>
      </c>
      <c r="Y33" s="408">
        <f>'приложение 1.1 '!X33</f>
        <v>0</v>
      </c>
      <c r="Z33" s="408">
        <f>'приложение 1.1 '!Y33</f>
        <v>0.7575599999999999</v>
      </c>
      <c r="AA33" s="408">
        <f>'приложение 1.1 '!Z33</f>
        <v>0</v>
      </c>
      <c r="AB33" s="408">
        <f>'приложение 1.1 '!AA33</f>
        <v>0</v>
      </c>
      <c r="AC33" s="408">
        <f>'приложение 1.1 '!AB33</f>
        <v>0.7575599999999999</v>
      </c>
    </row>
    <row r="34" spans="1:29" ht="49.5" customHeight="1">
      <c r="A34" s="358" t="str">
        <f>'приложение 1.1 '!A34</f>
        <v>1.3.2.</v>
      </c>
      <c r="B34" s="488" t="str">
        <f>'приложение 1.1 '!B34</f>
        <v>Монтаж системы АИИС КУЭ на ПС №121 -35/6кВ</v>
      </c>
      <c r="C34" s="199" t="s">
        <v>411</v>
      </c>
      <c r="D34" s="408"/>
      <c r="E34" s="408"/>
      <c r="F34" s="408">
        <f>50*0.3445</f>
        <v>17.224999999999998</v>
      </c>
      <c r="G34" s="516">
        <f>'приложение 1.1 '!F34</f>
        <v>2019</v>
      </c>
      <c r="H34" s="837">
        <f>'приложение 1.1 '!G34</f>
        <v>2019</v>
      </c>
      <c r="I34" s="408">
        <f>'приложение 1.1 '!H34</f>
        <v>0.7575599999999999</v>
      </c>
      <c r="J34" s="408">
        <f>'приложение 1.1 '!I34</f>
        <v>0.7575599999999999</v>
      </c>
      <c r="K34" s="408">
        <f>'приложение 1.1 '!J34</f>
        <v>0</v>
      </c>
      <c r="L34" s="408" t="str">
        <f>'приложение 1.1 '!K34</f>
        <v>0,00</v>
      </c>
      <c r="M34" s="408" t="str">
        <f>'приложение 1.1 '!L34</f>
        <v>0,00</v>
      </c>
      <c r="N34" s="408" t="str">
        <f>'приложение 1.1 '!M34</f>
        <v>0,00</v>
      </c>
      <c r="O34" s="408" t="str">
        <f>'приложение 1.1 '!N34</f>
        <v>0,00</v>
      </c>
      <c r="P34" s="408" t="str">
        <f>'приложение 1.1 '!O34</f>
        <v>0,00</v>
      </c>
      <c r="Q34" s="408" t="str">
        <f>'приложение 1.1 '!P34</f>
        <v>0,00</v>
      </c>
      <c r="R34" s="408">
        <f>'приложение 1.1 '!Q34</f>
        <v>0</v>
      </c>
      <c r="S34" s="408">
        <f>'приложение 1.1 '!R34</f>
        <v>0</v>
      </c>
      <c r="T34" s="408" t="str">
        <f>'приложение 1.1 '!S34</f>
        <v>0,00</v>
      </c>
      <c r="U34" s="408" t="str">
        <f>'приложение 1.1 '!T34</f>
        <v>0,00</v>
      </c>
      <c r="V34" s="408" t="e">
        <f>'приложение 1.1 '!U34</f>
        <v>#VALUE!</v>
      </c>
      <c r="W34" s="408" t="e">
        <f>'приложение 1.1 '!V34</f>
        <v>#VALUE!</v>
      </c>
      <c r="X34" s="408">
        <f>'приложение 1.1 '!W34</f>
        <v>0</v>
      </c>
      <c r="Y34" s="408">
        <f>'приложение 1.1 '!X34</f>
        <v>0</v>
      </c>
      <c r="Z34" s="408">
        <f>'приложение 1.1 '!Y34</f>
        <v>0</v>
      </c>
      <c r="AA34" s="408">
        <f>'приложение 1.1 '!Z34</f>
        <v>0.7575599999999999</v>
      </c>
      <c r="AB34" s="408">
        <f>'приложение 1.1 '!AA34</f>
        <v>0</v>
      </c>
      <c r="AC34" s="408">
        <f>'приложение 1.1 '!AB34</f>
        <v>0.7575599999999999</v>
      </c>
    </row>
    <row r="35" spans="1:29" collapsed="1">
      <c r="A35" s="199"/>
      <c r="B35" s="159" t="s">
        <v>220</v>
      </c>
      <c r="C35" s="199"/>
      <c r="D35" s="408"/>
      <c r="E35" s="408"/>
      <c r="F35" s="189"/>
      <c r="G35" s="516"/>
      <c r="H35" s="516"/>
      <c r="I35" s="513">
        <f t="shared" ref="I35:AC35" si="10">SUM(I33:I34)</f>
        <v>1.5151199999999998</v>
      </c>
      <c r="J35" s="513">
        <f t="shared" si="10"/>
        <v>1.5151199999999998</v>
      </c>
      <c r="K35" s="513">
        <f t="shared" si="10"/>
        <v>0</v>
      </c>
      <c r="L35" s="513">
        <f t="shared" si="10"/>
        <v>0</v>
      </c>
      <c r="M35" s="513">
        <f t="shared" si="10"/>
        <v>0</v>
      </c>
      <c r="N35" s="513">
        <f t="shared" si="10"/>
        <v>0</v>
      </c>
      <c r="O35" s="513">
        <f t="shared" si="10"/>
        <v>0</v>
      </c>
      <c r="P35" s="513">
        <f t="shared" si="10"/>
        <v>0</v>
      </c>
      <c r="Q35" s="513">
        <f t="shared" si="10"/>
        <v>0</v>
      </c>
      <c r="R35" s="513">
        <f t="shared" si="10"/>
        <v>0</v>
      </c>
      <c r="S35" s="513">
        <f t="shared" si="10"/>
        <v>0</v>
      </c>
      <c r="T35" s="513">
        <f t="shared" si="10"/>
        <v>0</v>
      </c>
      <c r="U35" s="513">
        <f t="shared" si="10"/>
        <v>0</v>
      </c>
      <c r="V35" s="513" t="e">
        <f t="shared" si="10"/>
        <v>#VALUE!</v>
      </c>
      <c r="W35" s="513" t="e">
        <f t="shared" si="10"/>
        <v>#VALUE!</v>
      </c>
      <c r="X35" s="513">
        <f t="shared" si="10"/>
        <v>0</v>
      </c>
      <c r="Y35" s="513">
        <f t="shared" si="10"/>
        <v>0</v>
      </c>
      <c r="Z35" s="513">
        <f t="shared" si="10"/>
        <v>0.7575599999999999</v>
      </c>
      <c r="AA35" s="513">
        <f t="shared" si="10"/>
        <v>0.7575599999999999</v>
      </c>
      <c r="AB35" s="513">
        <f t="shared" si="10"/>
        <v>0</v>
      </c>
      <c r="AC35" s="513">
        <f t="shared" si="10"/>
        <v>1.5151199999999998</v>
      </c>
    </row>
    <row r="36" spans="1:29" s="162" customFormat="1" hidden="1" outlineLevel="1">
      <c r="A36" s="160">
        <f>'приложение 1.1 '!A36</f>
        <v>2</v>
      </c>
      <c r="B36" s="659" t="str">
        <f>'приложение 1.1 '!B36</f>
        <v>Новое строительство</v>
      </c>
      <c r="C36" s="369"/>
      <c r="D36" s="511">
        <f>D39</f>
        <v>0</v>
      </c>
      <c r="E36" s="511">
        <f>E39</f>
        <v>0</v>
      </c>
      <c r="F36" s="190">
        <f>F39</f>
        <v>0</v>
      </c>
      <c r="G36" s="511"/>
      <c r="H36" s="511"/>
      <c r="I36" s="513">
        <f>AC36</f>
        <v>0</v>
      </c>
      <c r="J36" s="515">
        <f>SUM(J38:J38)</f>
        <v>0</v>
      </c>
      <c r="K36" s="515">
        <f t="shared" ref="K36:AB36" si="11">K39</f>
        <v>0</v>
      </c>
      <c r="L36" s="515">
        <f t="shared" si="11"/>
        <v>0</v>
      </c>
      <c r="M36" s="515">
        <f t="shared" si="11"/>
        <v>0</v>
      </c>
      <c r="N36" s="515"/>
      <c r="O36" s="515"/>
      <c r="P36" s="515"/>
      <c r="Q36" s="515"/>
      <c r="R36" s="515">
        <f t="shared" si="11"/>
        <v>0</v>
      </c>
      <c r="S36" s="515">
        <f t="shared" si="11"/>
        <v>0</v>
      </c>
      <c r="T36" s="515">
        <f t="shared" si="11"/>
        <v>0</v>
      </c>
      <c r="U36" s="515">
        <f t="shared" si="11"/>
        <v>0</v>
      </c>
      <c r="V36" s="515">
        <f t="shared" si="11"/>
        <v>0</v>
      </c>
      <c r="W36" s="515">
        <f t="shared" si="11"/>
        <v>0</v>
      </c>
      <c r="X36" s="515">
        <f t="shared" si="11"/>
        <v>0</v>
      </c>
      <c r="Y36" s="515"/>
      <c r="Z36" s="515"/>
      <c r="AA36" s="515"/>
      <c r="AB36" s="515">
        <f t="shared" si="11"/>
        <v>0</v>
      </c>
      <c r="AC36" s="515">
        <f>SUM(AC37:AC38)</f>
        <v>0</v>
      </c>
    </row>
    <row r="37" spans="1:29" ht="60.75" hidden="1" outlineLevel="1">
      <c r="A37" s="160" t="str">
        <f>'приложение 1.1 '!A37</f>
        <v>2.1.</v>
      </c>
      <c r="B37" s="659" t="str">
        <f>'приложение 1.1 '!B37</f>
        <v>Энергосбережение и повышение энергетической эффективности</v>
      </c>
      <c r="C37" s="199"/>
      <c r="D37" s="408"/>
      <c r="E37" s="408"/>
      <c r="F37" s="189"/>
      <c r="G37" s="408"/>
      <c r="H37" s="408"/>
      <c r="I37" s="512"/>
      <c r="J37" s="512"/>
      <c r="K37" s="512"/>
      <c r="L37" s="512"/>
      <c r="M37" s="512"/>
      <c r="N37" s="512"/>
      <c r="O37" s="512"/>
      <c r="P37" s="512"/>
      <c r="Q37" s="512"/>
      <c r="R37" s="512"/>
      <c r="S37" s="512"/>
      <c r="T37" s="512"/>
      <c r="U37" s="512"/>
      <c r="V37" s="512"/>
      <c r="W37" s="512"/>
      <c r="X37" s="512"/>
      <c r="Y37" s="512"/>
      <c r="Z37" s="512"/>
      <c r="AA37" s="512"/>
      <c r="AB37" s="512"/>
      <c r="AC37" s="512"/>
    </row>
    <row r="38" spans="1:29" hidden="1" outlineLevel="1">
      <c r="A38" s="160" t="str">
        <f>'приложение 1.1 '!A38</f>
        <v>2.1.1.</v>
      </c>
      <c r="B38" s="659" t="str">
        <f>'приложение 1.1 '!B38</f>
        <v>Подстанции 35/ 6/10кВ</v>
      </c>
      <c r="C38" s="199"/>
      <c r="D38" s="408"/>
      <c r="E38" s="408"/>
      <c r="F38" s="189"/>
      <c r="G38" s="408"/>
      <c r="H38" s="408"/>
      <c r="I38" s="512"/>
      <c r="J38" s="512"/>
      <c r="K38" s="512"/>
      <c r="L38" s="512"/>
      <c r="M38" s="512"/>
      <c r="N38" s="512"/>
      <c r="O38" s="512"/>
      <c r="P38" s="512"/>
      <c r="Q38" s="512"/>
      <c r="R38" s="512"/>
      <c r="S38" s="512"/>
      <c r="T38" s="512"/>
      <c r="U38" s="512"/>
      <c r="V38" s="512"/>
      <c r="W38" s="512"/>
      <c r="X38" s="512"/>
      <c r="Y38" s="512"/>
      <c r="Z38" s="512"/>
      <c r="AA38" s="512"/>
      <c r="AB38" s="512"/>
      <c r="AC38" s="512"/>
    </row>
    <row r="39" spans="1:29" hidden="1" outlineLevel="1">
      <c r="A39" s="160"/>
      <c r="B39" s="659" t="str">
        <f>'приложение 1.1 '!B39</f>
        <v>Итого по разделу 2.1.</v>
      </c>
      <c r="C39" s="199"/>
      <c r="D39" s="650">
        <f>SUM(D38:D38)</f>
        <v>0</v>
      </c>
      <c r="E39" s="650">
        <f>SUM(E38:E38)</f>
        <v>0</v>
      </c>
      <c r="F39" s="197">
        <f>SUM(F38:F38)</f>
        <v>0</v>
      </c>
      <c r="G39" s="408"/>
      <c r="H39" s="408"/>
      <c r="I39" s="513">
        <f t="shared" ref="I39:AB39" si="12">SUM(I38:I38)</f>
        <v>0</v>
      </c>
      <c r="J39" s="513">
        <f t="shared" si="12"/>
        <v>0</v>
      </c>
      <c r="K39" s="513">
        <f t="shared" si="12"/>
        <v>0</v>
      </c>
      <c r="L39" s="513">
        <f t="shared" si="12"/>
        <v>0</v>
      </c>
      <c r="M39" s="513">
        <f t="shared" si="12"/>
        <v>0</v>
      </c>
      <c r="N39" s="513"/>
      <c r="O39" s="513"/>
      <c r="P39" s="513"/>
      <c r="Q39" s="513"/>
      <c r="R39" s="513">
        <f t="shared" si="12"/>
        <v>0</v>
      </c>
      <c r="S39" s="513">
        <f t="shared" si="12"/>
        <v>0</v>
      </c>
      <c r="T39" s="513">
        <f t="shared" si="12"/>
        <v>0</v>
      </c>
      <c r="U39" s="513">
        <f t="shared" si="12"/>
        <v>0</v>
      </c>
      <c r="V39" s="513">
        <f t="shared" si="12"/>
        <v>0</v>
      </c>
      <c r="W39" s="513">
        <f t="shared" si="12"/>
        <v>0</v>
      </c>
      <c r="X39" s="513">
        <f t="shared" si="12"/>
        <v>0</v>
      </c>
      <c r="Y39" s="513"/>
      <c r="Z39" s="513"/>
      <c r="AA39" s="513"/>
      <c r="AB39" s="513">
        <f t="shared" si="12"/>
        <v>0</v>
      </c>
      <c r="AC39" s="513">
        <f>SUM(X39:AB39)</f>
        <v>0</v>
      </c>
    </row>
    <row r="40" spans="1:29">
      <c r="A40" s="453"/>
      <c r="B40" s="133"/>
      <c r="C40" s="133"/>
      <c r="D40" s="146"/>
      <c r="E40" s="146"/>
      <c r="F40" s="146"/>
      <c r="G40" s="366"/>
      <c r="H40" s="366"/>
      <c r="I40" s="134" t="s">
        <v>290</v>
      </c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49"/>
      <c r="Y40" s="149"/>
      <c r="Z40" s="149"/>
      <c r="AA40" s="149"/>
      <c r="AB40" s="149"/>
      <c r="AC40" s="149"/>
    </row>
    <row r="41" spans="1:29">
      <c r="A41" s="136" t="s">
        <v>121</v>
      </c>
      <c r="X41" s="134"/>
      <c r="Y41" s="134"/>
      <c r="Z41" s="134"/>
      <c r="AA41" s="134"/>
      <c r="AB41" s="134"/>
      <c r="AC41" s="134"/>
    </row>
    <row r="42" spans="1:29">
      <c r="A42" s="136" t="s">
        <v>494</v>
      </c>
      <c r="X42" s="134"/>
      <c r="Y42" s="134"/>
      <c r="Z42" s="134"/>
      <c r="AA42" s="134"/>
      <c r="AB42" s="134"/>
      <c r="AC42" s="134"/>
    </row>
    <row r="43" spans="1:29">
      <c r="A43" s="133" t="s">
        <v>391</v>
      </c>
      <c r="X43" s="134"/>
      <c r="Y43" s="134"/>
      <c r="Z43" s="134"/>
      <c r="AA43" s="134"/>
      <c r="AB43" s="134"/>
      <c r="AC43" s="134"/>
    </row>
    <row r="44" spans="1:29" ht="16.5" customHeight="1">
      <c r="A44" s="143" t="s">
        <v>176</v>
      </c>
      <c r="C44" s="150"/>
      <c r="D44" s="187"/>
      <c r="E44" s="187"/>
      <c r="F44" s="187"/>
      <c r="G44" s="370"/>
      <c r="H44" s="370"/>
      <c r="I44" s="150"/>
      <c r="J44" s="150"/>
      <c r="X44" s="151"/>
      <c r="Y44" s="151"/>
      <c r="Z44" s="151"/>
      <c r="AA44" s="151"/>
      <c r="AB44" s="134"/>
      <c r="AC44" s="152"/>
    </row>
    <row r="45" spans="1:29">
      <c r="B45" s="150"/>
      <c r="C45" s="150"/>
      <c r="D45" s="187"/>
      <c r="E45" s="187"/>
      <c r="F45" s="187"/>
      <c r="G45" s="370"/>
      <c r="H45" s="370"/>
      <c r="I45" s="153"/>
      <c r="J45" s="153"/>
      <c r="X45" s="151"/>
      <c r="Y45" s="151"/>
      <c r="Z45" s="151"/>
      <c r="AA45" s="151"/>
      <c r="AB45" s="134"/>
      <c r="AC45" s="152"/>
    </row>
    <row r="48" spans="1:29">
      <c r="B48" s="291"/>
      <c r="D48" s="187"/>
      <c r="E48" s="187"/>
      <c r="F48" s="187"/>
    </row>
    <row r="52" spans="1:10">
      <c r="B52" s="291"/>
      <c r="D52" s="187"/>
      <c r="E52" s="187"/>
      <c r="F52" s="187"/>
    </row>
    <row r="54" spans="1:10">
      <c r="A54" s="133"/>
      <c r="B54" s="133"/>
      <c r="C54" s="133"/>
      <c r="D54" s="146"/>
    </row>
    <row r="55" spans="1:10">
      <c r="A55" s="133"/>
      <c r="B55" s="133"/>
      <c r="C55" s="133"/>
      <c r="D55" s="146"/>
    </row>
    <row r="56" spans="1:10">
      <c r="A56" s="133"/>
      <c r="B56" s="133"/>
      <c r="C56" s="133"/>
      <c r="D56" s="188"/>
      <c r="E56" s="187"/>
      <c r="F56" s="187"/>
      <c r="G56" s="370"/>
    </row>
    <row r="57" spans="1:10">
      <c r="A57" s="133"/>
      <c r="B57" s="133"/>
      <c r="C57" s="133"/>
      <c r="D57" s="146"/>
    </row>
    <row r="58" spans="1:10">
      <c r="A58" s="133"/>
      <c r="B58" s="365"/>
      <c r="C58" s="133"/>
      <c r="D58" s="146"/>
    </row>
    <row r="59" spans="1:10">
      <c r="A59" s="133"/>
      <c r="B59" s="365"/>
      <c r="C59" s="133"/>
      <c r="D59" s="146"/>
    </row>
    <row r="60" spans="1:10">
      <c r="A60" s="133"/>
      <c r="B60" s="133"/>
      <c r="C60" s="133"/>
      <c r="D60" s="146"/>
    </row>
    <row r="61" spans="1:10">
      <c r="A61" s="133"/>
      <c r="B61" s="133"/>
      <c r="C61" s="133"/>
      <c r="D61" s="146"/>
    </row>
    <row r="62" spans="1:10">
      <c r="A62" s="133"/>
      <c r="B62" s="133"/>
      <c r="C62" s="133"/>
      <c r="D62" s="146"/>
    </row>
    <row r="63" spans="1:10">
      <c r="A63" s="133"/>
      <c r="B63" s="133"/>
      <c r="C63" s="133"/>
      <c r="D63" s="146"/>
    </row>
    <row r="64" spans="1:10">
      <c r="B64" s="291"/>
      <c r="C64" s="291"/>
      <c r="D64" s="187"/>
      <c r="E64" s="187"/>
      <c r="F64" s="187"/>
      <c r="G64" s="370"/>
      <c r="H64" s="370"/>
      <c r="I64" s="153"/>
      <c r="J64" s="153"/>
    </row>
    <row r="65" spans="2:10">
      <c r="B65" s="291"/>
      <c r="C65" s="291"/>
      <c r="D65" s="187"/>
      <c r="E65" s="187"/>
      <c r="F65" s="187"/>
      <c r="G65" s="370"/>
      <c r="H65" s="370"/>
      <c r="I65" s="153"/>
      <c r="J65" s="153"/>
    </row>
    <row r="66" spans="2:10">
      <c r="B66" s="291"/>
      <c r="C66" s="291"/>
      <c r="D66" s="187"/>
      <c r="E66" s="187"/>
      <c r="F66" s="187"/>
      <c r="G66" s="370"/>
      <c r="H66" s="370"/>
      <c r="I66" s="153"/>
      <c r="J66" s="153"/>
    </row>
    <row r="67" spans="2:10">
      <c r="B67" s="291"/>
      <c r="C67" s="291"/>
      <c r="D67" s="187"/>
      <c r="E67" s="187"/>
      <c r="F67" s="187"/>
      <c r="G67" s="370"/>
      <c r="H67" s="370"/>
      <c r="I67" s="153"/>
      <c r="J67" s="153"/>
    </row>
    <row r="69" spans="2:10">
      <c r="B69" s="291"/>
      <c r="D69" s="187"/>
      <c r="E69" s="187"/>
      <c r="F69" s="187"/>
    </row>
    <row r="71" spans="2:10">
      <c r="B71" s="291"/>
      <c r="C71" s="291"/>
      <c r="D71" s="187"/>
      <c r="E71" s="187"/>
      <c r="F71" s="187"/>
      <c r="G71" s="370"/>
      <c r="H71" s="370"/>
      <c r="I71" s="153"/>
      <c r="J71" s="153"/>
    </row>
  </sheetData>
  <customSheetViews>
    <customSheetView guid="{8313A758-6764-4FAF-B5C3-0AC63E11C07D}" scale="60" showPageBreaks="1" printArea="1" hiddenRows="1" topLeftCell="A19">
      <selection activeCell="F24" sqref="F24"/>
      <pageMargins left="0.19685039370078741" right="0.11811023622047245" top="0.51181102362204722" bottom="0.59055118110236227" header="0.51181102362204722" footer="0.51181102362204722"/>
      <printOptions horizontalCentered="1"/>
      <pageSetup paperSize="8" scale="40" fitToHeight="0" orientation="landscape" r:id="rId1"/>
      <headerFooter alignWithMargins="0">
        <oddFooter>&amp;R&amp;P</oddFooter>
      </headerFooter>
    </customSheetView>
    <customSheetView guid="{39750778-B4CA-4A61-A93E-2C57443220F3}" scale="60" showPageBreaks="1" printArea="1" hiddenRows="1" topLeftCell="D1">
      <selection activeCell="AB21" sqref="AB21"/>
      <pageMargins left="0.19685039370078741" right="0.11811023622047245" top="0.51181102362204722" bottom="0.59055118110236227" header="0.51181102362204722" footer="0.51181102362204722"/>
      <printOptions horizontalCentered="1"/>
      <pageSetup paperSize="8" scale="40" fitToHeight="0" orientation="portrait" r:id="rId2"/>
      <headerFooter alignWithMargins="0">
        <oddFooter>&amp;R&amp;P</oddFooter>
      </headerFooter>
    </customSheetView>
  </customSheetViews>
  <mergeCells count="29">
    <mergeCell ref="B6:C6"/>
    <mergeCell ref="H6:K6"/>
    <mergeCell ref="A11:AC11"/>
    <mergeCell ref="A12:AC12"/>
    <mergeCell ref="A15:A17"/>
    <mergeCell ref="B15:B17"/>
    <mergeCell ref="C15:C16"/>
    <mergeCell ref="D15:E16"/>
    <mergeCell ref="G15:G17"/>
    <mergeCell ref="H15:H17"/>
    <mergeCell ref="X15:AC15"/>
    <mergeCell ref="L16:M16"/>
    <mergeCell ref="N16:O16"/>
    <mergeCell ref="T16:U16"/>
    <mergeCell ref="V16:W16"/>
    <mergeCell ref="F15:F17"/>
    <mergeCell ref="I15:I16"/>
    <mergeCell ref="J15:J16"/>
    <mergeCell ref="K15:K16"/>
    <mergeCell ref="L15:W15"/>
    <mergeCell ref="D18:E18"/>
    <mergeCell ref="L18:M18"/>
    <mergeCell ref="N18:O18"/>
    <mergeCell ref="T18:U18"/>
    <mergeCell ref="V18:W18"/>
    <mergeCell ref="P16:Q16"/>
    <mergeCell ref="R16:S16"/>
    <mergeCell ref="P18:Q18"/>
    <mergeCell ref="R18:S18"/>
  </mergeCells>
  <conditionalFormatting sqref="I27">
    <cfRule type="cellIs" dxfId="0" priority="1" stopIfTrue="1" operator="notEqual">
      <formula>$AC$27</formula>
    </cfRule>
  </conditionalFormatting>
  <printOptions horizontalCentered="1"/>
  <pageMargins left="0.19685039370078741" right="0.11811023622047245" top="0.70866141732283472" bottom="0.59055118110236227" header="0.51181102362204722" footer="0.51181102362204722"/>
  <pageSetup paperSize="8" scale="41" fitToHeight="0" orientation="landscape" r:id="rId3"/>
  <headerFooter alignWithMargins="0">
    <oddFooter>&amp;R&amp;P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45"/>
  <sheetViews>
    <sheetView view="pageBreakPreview" topLeftCell="M1" zoomScale="70" zoomScaleNormal="80" zoomScaleSheetLayoutView="70" workbookViewId="0">
      <selection activeCell="S22" sqref="S22"/>
    </sheetView>
  </sheetViews>
  <sheetFormatPr defaultRowHeight="15.75" outlineLevelRow="1"/>
  <cols>
    <col min="1" max="1" width="9" style="223"/>
    <col min="2" max="2" width="43.875" style="200" customWidth="1"/>
    <col min="3" max="12" width="9.25" style="200" customWidth="1"/>
    <col min="13" max="13" width="10.75" style="200" customWidth="1"/>
    <col min="14" max="14" width="9.75" style="200" customWidth="1"/>
    <col min="15" max="16" width="8.375" style="200" customWidth="1"/>
    <col min="17" max="17" width="8.5" style="200" customWidth="1"/>
    <col min="18" max="22" width="7.625" style="200" customWidth="1"/>
    <col min="23" max="23" width="9.25" style="200" customWidth="1"/>
    <col min="24" max="24" width="8.625" style="200" customWidth="1"/>
    <col min="25" max="26" width="9" style="200" customWidth="1"/>
    <col min="27" max="27" width="14.875" style="200" customWidth="1"/>
    <col min="28" max="28" width="6.75" style="200" customWidth="1"/>
    <col min="29" max="29" width="8.375" style="200" customWidth="1"/>
    <col min="30" max="30" width="7.875" style="200" customWidth="1"/>
    <col min="31" max="31" width="8.25" style="200" customWidth="1"/>
    <col min="32" max="32" width="8.375" style="200" customWidth="1"/>
    <col min="33" max="33" width="8.125" style="200" customWidth="1"/>
    <col min="34" max="34" width="9.25" style="200" customWidth="1"/>
    <col min="35" max="35" width="8.75" style="200" customWidth="1"/>
    <col min="36" max="36" width="9.125" style="416" customWidth="1"/>
    <col min="37" max="37" width="9.625" style="416" customWidth="1"/>
    <col min="38" max="38" width="9.875" style="200" customWidth="1"/>
    <col min="39" max="39" width="10.25" style="200" customWidth="1"/>
    <col min="40" max="40" width="10.625" style="200" customWidth="1"/>
    <col min="41" max="41" width="11" style="200" customWidth="1"/>
    <col min="42" max="44" width="10.875" style="200" customWidth="1"/>
    <col min="45" max="45" width="10" style="200" customWidth="1"/>
    <col min="46" max="46" width="10.875" style="200" customWidth="1"/>
    <col min="47" max="47" width="11.5" style="200" customWidth="1"/>
    <col min="48" max="16384" width="9" style="200"/>
  </cols>
  <sheetData>
    <row r="1" spans="1:47" ht="18.75">
      <c r="A1" s="176"/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54"/>
      <c r="P1" s="154"/>
      <c r="Q1" s="154"/>
      <c r="AU1" s="177" t="s">
        <v>497</v>
      </c>
    </row>
    <row r="2" spans="1:47" ht="18.75">
      <c r="A2" s="176"/>
      <c r="B2" s="164"/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54"/>
      <c r="P2" s="154"/>
      <c r="Q2" s="154"/>
      <c r="R2" s="53"/>
      <c r="S2" s="53"/>
      <c r="T2" s="53"/>
      <c r="U2" s="53"/>
      <c r="V2" s="53"/>
      <c r="AU2" s="177" t="s">
        <v>433</v>
      </c>
    </row>
    <row r="3" spans="1:47" ht="18.75">
      <c r="A3" s="176"/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54"/>
      <c r="P3" s="154"/>
      <c r="Q3" s="154"/>
      <c r="AU3" s="177" t="s">
        <v>496</v>
      </c>
    </row>
    <row r="4" spans="1:47" ht="18.75">
      <c r="A4" s="876" t="s">
        <v>498</v>
      </c>
      <c r="B4" s="876"/>
      <c r="C4" s="876"/>
      <c r="D4" s="876"/>
      <c r="E4" s="876"/>
      <c r="F4" s="876"/>
      <c r="G4" s="876"/>
      <c r="H4" s="876"/>
      <c r="I4" s="876"/>
      <c r="J4" s="876"/>
      <c r="K4" s="876"/>
      <c r="L4" s="876"/>
      <c r="M4" s="876"/>
      <c r="N4" s="876"/>
      <c r="O4" s="876"/>
      <c r="P4" s="876"/>
      <c r="Q4" s="876"/>
      <c r="R4" s="876"/>
      <c r="S4" s="876"/>
      <c r="T4" s="876"/>
      <c r="U4" s="876"/>
      <c r="V4" s="876"/>
      <c r="W4" s="876"/>
      <c r="X4" s="876"/>
      <c r="Y4" s="876"/>
      <c r="Z4" s="876"/>
      <c r="AA4" s="876"/>
      <c r="AB4" s="876"/>
      <c r="AC4" s="876"/>
      <c r="AD4" s="876"/>
      <c r="AE4" s="876"/>
      <c r="AF4" s="876"/>
      <c r="AG4" s="876"/>
      <c r="AH4" s="876"/>
      <c r="AI4" s="876"/>
      <c r="AJ4" s="876"/>
      <c r="AK4" s="876"/>
      <c r="AL4" s="876"/>
      <c r="AM4" s="876"/>
      <c r="AN4" s="876"/>
      <c r="AO4" s="876"/>
      <c r="AP4" s="876"/>
      <c r="AQ4" s="876"/>
      <c r="AR4" s="876"/>
      <c r="AS4" s="876"/>
      <c r="AT4" s="876"/>
      <c r="AU4" s="876"/>
    </row>
    <row r="5" spans="1:47" ht="18.75">
      <c r="A5" s="876" t="s">
        <v>616</v>
      </c>
      <c r="B5" s="876"/>
      <c r="C5" s="876"/>
      <c r="D5" s="876"/>
      <c r="E5" s="876"/>
      <c r="F5" s="876"/>
      <c r="G5" s="876"/>
      <c r="H5" s="876"/>
      <c r="I5" s="876"/>
      <c r="J5" s="876"/>
      <c r="K5" s="876"/>
      <c r="L5" s="876"/>
      <c r="M5" s="876"/>
      <c r="N5" s="876"/>
      <c r="O5" s="876"/>
      <c r="P5" s="876"/>
      <c r="Q5" s="876"/>
      <c r="R5" s="876"/>
      <c r="S5" s="876"/>
      <c r="T5" s="876"/>
      <c r="U5" s="876"/>
      <c r="V5" s="876"/>
      <c r="W5" s="876"/>
      <c r="X5" s="876"/>
      <c r="Y5" s="876"/>
      <c r="Z5" s="876"/>
      <c r="AA5" s="876"/>
      <c r="AB5" s="876"/>
      <c r="AC5" s="876"/>
      <c r="AD5" s="876"/>
      <c r="AE5" s="876"/>
      <c r="AF5" s="876"/>
      <c r="AG5" s="876"/>
      <c r="AH5" s="876"/>
      <c r="AI5" s="876"/>
      <c r="AJ5" s="876"/>
      <c r="AK5" s="876"/>
      <c r="AL5" s="876"/>
      <c r="AM5" s="876"/>
      <c r="AN5" s="876"/>
      <c r="AO5" s="876"/>
      <c r="AP5" s="876"/>
      <c r="AQ5" s="876"/>
      <c r="AR5" s="876"/>
      <c r="AS5" s="876"/>
      <c r="AT5" s="876"/>
      <c r="AU5" s="876"/>
    </row>
    <row r="6" spans="1:47" ht="18.75">
      <c r="A6" s="176"/>
      <c r="B6" s="164"/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54"/>
      <c r="P6" s="154"/>
      <c r="Q6" s="154"/>
      <c r="AU6" s="707" t="s">
        <v>296</v>
      </c>
    </row>
    <row r="7" spans="1:47" ht="18.75">
      <c r="A7" s="176"/>
      <c r="B7" s="164"/>
      <c r="C7" s="164"/>
      <c r="D7" s="164"/>
      <c r="E7" s="164"/>
      <c r="F7" s="164"/>
      <c r="G7" s="164"/>
      <c r="H7" s="164"/>
      <c r="I7" s="164"/>
      <c r="J7" s="164"/>
      <c r="K7" s="164"/>
      <c r="L7" s="164"/>
      <c r="M7" s="164"/>
      <c r="N7" s="164"/>
      <c r="O7" s="154"/>
      <c r="P7" s="154"/>
      <c r="Q7" s="154"/>
      <c r="AU7" s="729" t="s">
        <v>615</v>
      </c>
    </row>
    <row r="8" spans="1:47" ht="18.75">
      <c r="A8" s="176"/>
      <c r="B8" s="164"/>
      <c r="C8" s="164"/>
      <c r="D8" s="164"/>
      <c r="E8" s="164"/>
      <c r="F8" s="164"/>
      <c r="G8" s="164"/>
      <c r="H8" s="164"/>
      <c r="I8" s="164"/>
      <c r="J8" s="164"/>
      <c r="K8" s="164"/>
      <c r="L8" s="164"/>
      <c r="M8" s="164"/>
      <c r="N8" s="164"/>
      <c r="O8" s="154"/>
      <c r="P8" s="154"/>
      <c r="Q8" s="154"/>
      <c r="AU8" s="707" t="s">
        <v>614</v>
      </c>
    </row>
    <row r="9" spans="1:47" ht="18.75">
      <c r="A9" s="176"/>
      <c r="B9" s="164"/>
      <c r="O9" s="178"/>
      <c r="P9" s="178"/>
      <c r="Q9" s="178"/>
      <c r="AT9" s="418"/>
      <c r="AU9" s="707" t="s">
        <v>656</v>
      </c>
    </row>
    <row r="10" spans="1:47" ht="18.75">
      <c r="A10" s="176"/>
      <c r="B10" s="164"/>
      <c r="C10" s="164"/>
      <c r="D10" s="164"/>
      <c r="E10" s="164"/>
      <c r="F10" s="164"/>
      <c r="G10" s="164"/>
      <c r="H10" s="164"/>
      <c r="I10" s="164"/>
      <c r="J10" s="164"/>
      <c r="K10" s="164"/>
      <c r="L10" s="164"/>
      <c r="M10" s="164"/>
      <c r="N10" s="164"/>
      <c r="O10" s="154"/>
      <c r="P10" s="154"/>
      <c r="Q10" s="154"/>
      <c r="AU10" s="707" t="s">
        <v>173</v>
      </c>
    </row>
    <row r="11" spans="1:47" ht="18.75">
      <c r="A11" s="176"/>
      <c r="B11" s="164"/>
      <c r="C11" s="164"/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54"/>
      <c r="P11" s="154"/>
      <c r="Q11" s="154"/>
      <c r="R11" s="222"/>
      <c r="S11" s="222"/>
      <c r="T11" s="222"/>
      <c r="U11" s="222"/>
      <c r="V11" s="222"/>
    </row>
    <row r="13" spans="1:47" ht="33" customHeight="1">
      <c r="A13" s="878" t="s">
        <v>250</v>
      </c>
      <c r="B13" s="877" t="s">
        <v>91</v>
      </c>
      <c r="C13" s="879" t="s">
        <v>81</v>
      </c>
      <c r="D13" s="880"/>
      <c r="E13" s="880"/>
      <c r="F13" s="880"/>
      <c r="G13" s="880"/>
      <c r="H13" s="880"/>
      <c r="I13" s="880"/>
      <c r="J13" s="880"/>
      <c r="K13" s="880"/>
      <c r="L13" s="880"/>
      <c r="M13" s="880"/>
      <c r="N13" s="881"/>
      <c r="O13" s="879" t="s">
        <v>154</v>
      </c>
      <c r="P13" s="880"/>
      <c r="Q13" s="880"/>
      <c r="R13" s="880"/>
      <c r="S13" s="880"/>
      <c r="T13" s="880"/>
      <c r="U13" s="880"/>
      <c r="V13" s="880"/>
      <c r="W13" s="880"/>
      <c r="X13" s="880"/>
      <c r="Y13" s="880"/>
      <c r="Z13" s="881"/>
      <c r="AA13" s="882" t="s">
        <v>506</v>
      </c>
      <c r="AB13" s="885" t="s">
        <v>499</v>
      </c>
      <c r="AC13" s="886"/>
      <c r="AD13" s="886"/>
      <c r="AE13" s="886"/>
      <c r="AF13" s="886"/>
      <c r="AG13" s="886"/>
      <c r="AH13" s="886"/>
      <c r="AI13" s="886"/>
      <c r="AJ13" s="886"/>
      <c r="AK13" s="886"/>
      <c r="AL13" s="886"/>
      <c r="AM13" s="886"/>
      <c r="AN13" s="886"/>
      <c r="AO13" s="886"/>
      <c r="AP13" s="886"/>
      <c r="AQ13" s="886"/>
      <c r="AR13" s="886"/>
      <c r="AS13" s="886"/>
      <c r="AT13" s="886"/>
      <c r="AU13" s="887"/>
    </row>
    <row r="14" spans="1:47" ht="18.75">
      <c r="A14" s="878"/>
      <c r="B14" s="877"/>
      <c r="C14" s="219" t="s">
        <v>413</v>
      </c>
      <c r="D14" s="220" t="s">
        <v>2</v>
      </c>
      <c r="E14" s="219" t="s">
        <v>413</v>
      </c>
      <c r="F14" s="220" t="s">
        <v>2</v>
      </c>
      <c r="G14" s="219" t="s">
        <v>413</v>
      </c>
      <c r="H14" s="220" t="s">
        <v>2</v>
      </c>
      <c r="I14" s="219" t="s">
        <v>413</v>
      </c>
      <c r="J14" s="220" t="s">
        <v>2</v>
      </c>
      <c r="K14" s="219" t="s">
        <v>413</v>
      </c>
      <c r="L14" s="220" t="s">
        <v>2</v>
      </c>
      <c r="M14" s="219" t="s">
        <v>413</v>
      </c>
      <c r="N14" s="220" t="s">
        <v>2</v>
      </c>
      <c r="O14" s="219" t="s">
        <v>413</v>
      </c>
      <c r="P14" s="220" t="s">
        <v>2</v>
      </c>
      <c r="Q14" s="219" t="s">
        <v>413</v>
      </c>
      <c r="R14" s="220" t="s">
        <v>2</v>
      </c>
      <c r="S14" s="219" t="s">
        <v>413</v>
      </c>
      <c r="T14" s="220" t="s">
        <v>2</v>
      </c>
      <c r="U14" s="219" t="s">
        <v>413</v>
      </c>
      <c r="V14" s="220" t="s">
        <v>2</v>
      </c>
      <c r="W14" s="219" t="s">
        <v>413</v>
      </c>
      <c r="X14" s="220" t="s">
        <v>2</v>
      </c>
      <c r="Y14" s="219" t="s">
        <v>413</v>
      </c>
      <c r="Z14" s="220" t="s">
        <v>2</v>
      </c>
      <c r="AA14" s="883"/>
      <c r="AB14" s="423" t="s">
        <v>413</v>
      </c>
      <c r="AC14" s="424" t="s">
        <v>2</v>
      </c>
      <c r="AD14" s="423" t="s">
        <v>413</v>
      </c>
      <c r="AE14" s="424" t="s">
        <v>2</v>
      </c>
      <c r="AF14" s="423" t="s">
        <v>413</v>
      </c>
      <c r="AG14" s="424" t="s">
        <v>2</v>
      </c>
      <c r="AH14" s="423" t="s">
        <v>413</v>
      </c>
      <c r="AI14" s="424" t="s">
        <v>2</v>
      </c>
      <c r="AJ14" s="423" t="s">
        <v>413</v>
      </c>
      <c r="AK14" s="424" t="s">
        <v>2</v>
      </c>
      <c r="AL14" s="896" t="s">
        <v>500</v>
      </c>
      <c r="AM14" s="897"/>
      <c r="AN14" s="897"/>
      <c r="AO14" s="897"/>
      <c r="AP14" s="898"/>
      <c r="AQ14" s="348" t="s">
        <v>500</v>
      </c>
      <c r="AR14" s="348" t="s">
        <v>500</v>
      </c>
      <c r="AS14" s="348" t="s">
        <v>500</v>
      </c>
      <c r="AT14" s="348" t="s">
        <v>500</v>
      </c>
      <c r="AU14" s="348" t="s">
        <v>500</v>
      </c>
    </row>
    <row r="15" spans="1:47" ht="81.75" customHeight="1">
      <c r="A15" s="878"/>
      <c r="B15" s="877"/>
      <c r="C15" s="888">
        <v>2016</v>
      </c>
      <c r="D15" s="888"/>
      <c r="E15" s="888">
        <v>2017</v>
      </c>
      <c r="F15" s="888"/>
      <c r="G15" s="899">
        <v>2018</v>
      </c>
      <c r="H15" s="900"/>
      <c r="I15" s="899">
        <v>2019</v>
      </c>
      <c r="J15" s="900"/>
      <c r="K15" s="888">
        <v>2020</v>
      </c>
      <c r="L15" s="888"/>
      <c r="M15" s="879" t="s">
        <v>289</v>
      </c>
      <c r="N15" s="881"/>
      <c r="O15" s="888">
        <v>2016</v>
      </c>
      <c r="P15" s="888"/>
      <c r="Q15" s="888">
        <v>2017</v>
      </c>
      <c r="R15" s="888"/>
      <c r="S15" s="899">
        <v>2018</v>
      </c>
      <c r="T15" s="900"/>
      <c r="U15" s="899">
        <v>2019</v>
      </c>
      <c r="V15" s="900"/>
      <c r="W15" s="888">
        <v>2020</v>
      </c>
      <c r="X15" s="888"/>
      <c r="Y15" s="888" t="s">
        <v>289</v>
      </c>
      <c r="Z15" s="888"/>
      <c r="AA15" s="884"/>
      <c r="AB15" s="877" t="s">
        <v>658</v>
      </c>
      <c r="AC15" s="889"/>
      <c r="AD15" s="877" t="s">
        <v>659</v>
      </c>
      <c r="AE15" s="889"/>
      <c r="AF15" s="877" t="s">
        <v>659</v>
      </c>
      <c r="AG15" s="889"/>
      <c r="AH15" s="877" t="s">
        <v>660</v>
      </c>
      <c r="AI15" s="889"/>
      <c r="AJ15" s="877" t="s">
        <v>661</v>
      </c>
      <c r="AK15" s="889"/>
      <c r="AL15" s="833" t="s">
        <v>662</v>
      </c>
      <c r="AM15" s="833" t="s">
        <v>663</v>
      </c>
      <c r="AN15" s="833" t="s">
        <v>664</v>
      </c>
      <c r="AO15" s="833" t="s">
        <v>665</v>
      </c>
      <c r="AP15" s="833" t="s">
        <v>666</v>
      </c>
      <c r="AQ15" s="834" t="s">
        <v>667</v>
      </c>
      <c r="AR15" s="834" t="s">
        <v>547</v>
      </c>
      <c r="AS15" s="834" t="s">
        <v>564</v>
      </c>
      <c r="AT15" s="834" t="s">
        <v>565</v>
      </c>
      <c r="AU15" s="834" t="s">
        <v>82</v>
      </c>
    </row>
    <row r="16" spans="1:47" s="179" customFormat="1">
      <c r="A16" s="655">
        <v>1</v>
      </c>
      <c r="B16" s="656">
        <v>2</v>
      </c>
      <c r="C16" s="890">
        <v>3</v>
      </c>
      <c r="D16" s="890"/>
      <c r="E16" s="890">
        <v>4</v>
      </c>
      <c r="F16" s="890"/>
      <c r="G16" s="891">
        <v>5</v>
      </c>
      <c r="H16" s="892"/>
      <c r="I16" s="891">
        <v>6</v>
      </c>
      <c r="J16" s="892"/>
      <c r="K16" s="890">
        <v>7</v>
      </c>
      <c r="L16" s="890"/>
      <c r="M16" s="891">
        <v>8</v>
      </c>
      <c r="N16" s="892"/>
      <c r="O16" s="893">
        <v>9</v>
      </c>
      <c r="P16" s="893"/>
      <c r="Q16" s="893">
        <v>10</v>
      </c>
      <c r="R16" s="893"/>
      <c r="S16" s="894">
        <v>11</v>
      </c>
      <c r="T16" s="895"/>
      <c r="U16" s="894">
        <v>12</v>
      </c>
      <c r="V16" s="895"/>
      <c r="W16" s="893">
        <v>13</v>
      </c>
      <c r="X16" s="893"/>
      <c r="Y16" s="893">
        <v>14</v>
      </c>
      <c r="Z16" s="894"/>
      <c r="AA16" s="657">
        <v>15</v>
      </c>
      <c r="AB16" s="894">
        <v>16</v>
      </c>
      <c r="AC16" s="895"/>
      <c r="AD16" s="894">
        <v>17</v>
      </c>
      <c r="AE16" s="895"/>
      <c r="AF16" s="894">
        <v>18</v>
      </c>
      <c r="AG16" s="895"/>
      <c r="AH16" s="894">
        <v>19</v>
      </c>
      <c r="AI16" s="895"/>
      <c r="AJ16" s="894">
        <v>20</v>
      </c>
      <c r="AK16" s="895"/>
      <c r="AL16" s="835">
        <v>21</v>
      </c>
      <c r="AM16" s="835">
        <v>22</v>
      </c>
      <c r="AN16" s="835">
        <v>23</v>
      </c>
      <c r="AO16" s="835">
        <v>24</v>
      </c>
      <c r="AP16" s="835">
        <v>25</v>
      </c>
      <c r="AQ16" s="835">
        <v>26</v>
      </c>
      <c r="AR16" s="835">
        <v>27</v>
      </c>
      <c r="AS16" s="835">
        <v>28</v>
      </c>
      <c r="AT16" s="835">
        <v>29</v>
      </c>
      <c r="AU16" s="835">
        <v>30</v>
      </c>
    </row>
    <row r="17" spans="1:47" s="192" customFormat="1">
      <c r="A17" s="191"/>
      <c r="B17" s="654" t="s">
        <v>236</v>
      </c>
      <c r="C17" s="203">
        <f t="shared" ref="C17:AT17" si="0">C18+C34</f>
        <v>0</v>
      </c>
      <c r="D17" s="203">
        <f t="shared" si="0"/>
        <v>0</v>
      </c>
      <c r="E17" s="203">
        <f t="shared" si="0"/>
        <v>20</v>
      </c>
      <c r="F17" s="203">
        <f t="shared" si="0"/>
        <v>0</v>
      </c>
      <c r="G17" s="203">
        <f t="shared" si="0"/>
        <v>10</v>
      </c>
      <c r="H17" s="203">
        <f t="shared" si="0"/>
        <v>0</v>
      </c>
      <c r="I17" s="203">
        <f t="shared" si="0"/>
        <v>10</v>
      </c>
      <c r="J17" s="203">
        <f t="shared" si="0"/>
        <v>13.353999999999999</v>
      </c>
      <c r="K17" s="203">
        <f t="shared" si="0"/>
        <v>0</v>
      </c>
      <c r="L17" s="203">
        <f t="shared" si="0"/>
        <v>0</v>
      </c>
      <c r="M17" s="203">
        <f t="shared" si="0"/>
        <v>40</v>
      </c>
      <c r="N17" s="203">
        <f t="shared" si="0"/>
        <v>13.353999999999999</v>
      </c>
      <c r="O17" s="203">
        <f t="shared" si="0"/>
        <v>0</v>
      </c>
      <c r="P17" s="203">
        <f t="shared" si="0"/>
        <v>0</v>
      </c>
      <c r="Q17" s="203">
        <f t="shared" si="0"/>
        <v>8</v>
      </c>
      <c r="R17" s="203">
        <f t="shared" si="0"/>
        <v>0</v>
      </c>
      <c r="S17" s="203">
        <f t="shared" si="0"/>
        <v>4</v>
      </c>
      <c r="T17" s="203">
        <f t="shared" si="0"/>
        <v>0</v>
      </c>
      <c r="U17" s="203">
        <f t="shared" si="0"/>
        <v>0</v>
      </c>
      <c r="V17" s="203">
        <f t="shared" si="0"/>
        <v>13.353999999999999</v>
      </c>
      <c r="W17" s="203">
        <f t="shared" si="0"/>
        <v>0</v>
      </c>
      <c r="X17" s="203">
        <f t="shared" si="0"/>
        <v>0</v>
      </c>
      <c r="Y17" s="203">
        <f t="shared" si="0"/>
        <v>12</v>
      </c>
      <c r="Z17" s="542">
        <f t="shared" si="0"/>
        <v>13.353999999999999</v>
      </c>
      <c r="AA17" s="542">
        <f t="shared" si="0"/>
        <v>147.53765361440679</v>
      </c>
      <c r="AB17" s="521">
        <f t="shared" si="0"/>
        <v>0</v>
      </c>
      <c r="AC17" s="521">
        <f t="shared" si="0"/>
        <v>0</v>
      </c>
      <c r="AD17" s="521">
        <f t="shared" si="0"/>
        <v>0</v>
      </c>
      <c r="AE17" s="521">
        <f t="shared" si="0"/>
        <v>0</v>
      </c>
      <c r="AF17" s="521">
        <f t="shared" si="0"/>
        <v>0</v>
      </c>
      <c r="AG17" s="521">
        <f t="shared" si="0"/>
        <v>0</v>
      </c>
      <c r="AH17" s="521">
        <f t="shared" si="0"/>
        <v>20</v>
      </c>
      <c r="AI17" s="521">
        <f t="shared" si="0"/>
        <v>0</v>
      </c>
      <c r="AJ17" s="521">
        <f t="shared" si="0"/>
        <v>20</v>
      </c>
      <c r="AK17" s="521">
        <f t="shared" si="0"/>
        <v>0</v>
      </c>
      <c r="AL17" s="521">
        <f t="shared" si="0"/>
        <v>0</v>
      </c>
      <c r="AM17" s="521">
        <f t="shared" si="0"/>
        <v>0</v>
      </c>
      <c r="AN17" s="521">
        <f t="shared" si="0"/>
        <v>0</v>
      </c>
      <c r="AO17" s="521">
        <f t="shared" si="0"/>
        <v>44.750319999999995</v>
      </c>
      <c r="AP17" s="521">
        <f t="shared" si="0"/>
        <v>44.750319999999995</v>
      </c>
      <c r="AQ17" s="521">
        <f t="shared" si="0"/>
        <v>11.366082</v>
      </c>
      <c r="AR17" s="521">
        <f t="shared" si="0"/>
        <v>57.067484629999996</v>
      </c>
      <c r="AS17" s="521">
        <f t="shared" si="0"/>
        <v>57.901544635</v>
      </c>
      <c r="AT17" s="521">
        <f t="shared" si="0"/>
        <v>3.0090000000000003</v>
      </c>
      <c r="AU17" s="525">
        <f>SUM(AP17:AT17)</f>
        <v>174.09443126499997</v>
      </c>
    </row>
    <row r="18" spans="1:47" ht="36.75" customHeight="1">
      <c r="A18" s="653">
        <v>1</v>
      </c>
      <c r="B18" s="180" t="s">
        <v>163</v>
      </c>
      <c r="C18" s="203">
        <f t="shared" ref="C18:AT18" si="1">C25+C29+C33</f>
        <v>0</v>
      </c>
      <c r="D18" s="203">
        <f t="shared" si="1"/>
        <v>0</v>
      </c>
      <c r="E18" s="203">
        <f t="shared" si="1"/>
        <v>20</v>
      </c>
      <c r="F18" s="203">
        <f t="shared" si="1"/>
        <v>0</v>
      </c>
      <c r="G18" s="203">
        <f t="shared" si="1"/>
        <v>10</v>
      </c>
      <c r="H18" s="203">
        <f t="shared" si="1"/>
        <v>0</v>
      </c>
      <c r="I18" s="203">
        <f t="shared" si="1"/>
        <v>10</v>
      </c>
      <c r="J18" s="203">
        <f t="shared" si="1"/>
        <v>13.353999999999999</v>
      </c>
      <c r="K18" s="203">
        <f t="shared" si="1"/>
        <v>0</v>
      </c>
      <c r="L18" s="203">
        <f t="shared" si="1"/>
        <v>0</v>
      </c>
      <c r="M18" s="203">
        <f t="shared" si="1"/>
        <v>40</v>
      </c>
      <c r="N18" s="203">
        <f t="shared" si="1"/>
        <v>13.353999999999999</v>
      </c>
      <c r="O18" s="203">
        <f t="shared" si="1"/>
        <v>0</v>
      </c>
      <c r="P18" s="203">
        <f t="shared" si="1"/>
        <v>0</v>
      </c>
      <c r="Q18" s="203">
        <f t="shared" si="1"/>
        <v>8</v>
      </c>
      <c r="R18" s="203">
        <f t="shared" si="1"/>
        <v>0</v>
      </c>
      <c r="S18" s="203">
        <f t="shared" si="1"/>
        <v>4</v>
      </c>
      <c r="T18" s="203">
        <f t="shared" si="1"/>
        <v>0</v>
      </c>
      <c r="U18" s="203">
        <f t="shared" si="1"/>
        <v>0</v>
      </c>
      <c r="V18" s="203">
        <f t="shared" si="1"/>
        <v>13.353999999999999</v>
      </c>
      <c r="W18" s="203">
        <f t="shared" si="1"/>
        <v>0</v>
      </c>
      <c r="X18" s="203">
        <f t="shared" si="1"/>
        <v>0</v>
      </c>
      <c r="Y18" s="203">
        <f t="shared" si="1"/>
        <v>12</v>
      </c>
      <c r="Z18" s="542">
        <f t="shared" si="1"/>
        <v>13.353999999999999</v>
      </c>
      <c r="AA18" s="542">
        <f t="shared" si="1"/>
        <v>147.53765361440679</v>
      </c>
      <c r="AB18" s="521">
        <f t="shared" si="1"/>
        <v>0</v>
      </c>
      <c r="AC18" s="521">
        <f t="shared" si="1"/>
        <v>0</v>
      </c>
      <c r="AD18" s="521">
        <f t="shared" si="1"/>
        <v>0</v>
      </c>
      <c r="AE18" s="521">
        <f t="shared" si="1"/>
        <v>0</v>
      </c>
      <c r="AF18" s="521">
        <f t="shared" si="1"/>
        <v>0</v>
      </c>
      <c r="AG18" s="521">
        <f t="shared" si="1"/>
        <v>0</v>
      </c>
      <c r="AH18" s="521">
        <f t="shared" si="1"/>
        <v>20</v>
      </c>
      <c r="AI18" s="521">
        <f t="shared" si="1"/>
        <v>0</v>
      </c>
      <c r="AJ18" s="521">
        <f t="shared" si="1"/>
        <v>20</v>
      </c>
      <c r="AK18" s="521">
        <f t="shared" si="1"/>
        <v>0</v>
      </c>
      <c r="AL18" s="521">
        <f t="shared" si="1"/>
        <v>0</v>
      </c>
      <c r="AM18" s="521">
        <f t="shared" si="1"/>
        <v>0</v>
      </c>
      <c r="AN18" s="521">
        <f t="shared" si="1"/>
        <v>0</v>
      </c>
      <c r="AO18" s="521">
        <f t="shared" si="1"/>
        <v>44.750319999999995</v>
      </c>
      <c r="AP18" s="521">
        <f t="shared" si="1"/>
        <v>44.750319999999995</v>
      </c>
      <c r="AQ18" s="521">
        <f t="shared" si="1"/>
        <v>11.366082</v>
      </c>
      <c r="AR18" s="521">
        <f t="shared" si="1"/>
        <v>57.067484629999996</v>
      </c>
      <c r="AS18" s="521">
        <f t="shared" si="1"/>
        <v>57.901544635</v>
      </c>
      <c r="AT18" s="521">
        <f t="shared" si="1"/>
        <v>3.0090000000000003</v>
      </c>
      <c r="AU18" s="525">
        <f>SUM(AP18:AT18)</f>
        <v>174.09443126499997</v>
      </c>
    </row>
    <row r="19" spans="1:47" s="172" customFormat="1" ht="39.75" customHeight="1">
      <c r="A19" s="169" t="s">
        <v>253</v>
      </c>
      <c r="B19" s="180" t="s">
        <v>160</v>
      </c>
      <c r="C19" s="203"/>
      <c r="D19" s="203"/>
      <c r="E19" s="203"/>
      <c r="F19" s="203"/>
      <c r="G19" s="203"/>
      <c r="H19" s="203"/>
      <c r="I19" s="203"/>
      <c r="J19" s="203"/>
      <c r="K19" s="203"/>
      <c r="L19" s="203"/>
      <c r="M19" s="203"/>
      <c r="N19" s="203"/>
      <c r="O19" s="203"/>
      <c r="P19" s="203"/>
      <c r="Q19" s="203"/>
      <c r="R19" s="203"/>
      <c r="S19" s="203"/>
      <c r="T19" s="203"/>
      <c r="U19" s="203"/>
      <c r="V19" s="203"/>
      <c r="W19" s="203"/>
      <c r="X19" s="203"/>
      <c r="Y19" s="543"/>
      <c r="Z19" s="544"/>
      <c r="AA19" s="544"/>
      <c r="AB19" s="525"/>
      <c r="AC19" s="525"/>
      <c r="AD19" s="525"/>
      <c r="AE19" s="525"/>
      <c r="AF19" s="525"/>
      <c r="AG19" s="525"/>
      <c r="AH19" s="525"/>
      <c r="AI19" s="525"/>
      <c r="AJ19" s="525"/>
      <c r="AK19" s="525"/>
      <c r="AL19" s="525"/>
      <c r="AM19" s="525"/>
      <c r="AN19" s="525"/>
      <c r="AO19" s="525"/>
      <c r="AP19" s="525"/>
      <c r="AQ19" s="525"/>
      <c r="AR19" s="525"/>
      <c r="AS19" s="525"/>
      <c r="AT19" s="525"/>
      <c r="AU19" s="545"/>
    </row>
    <row r="20" spans="1:47" ht="21.75" customHeight="1">
      <c r="A20" s="169" t="s">
        <v>253</v>
      </c>
      <c r="B20" s="180" t="str">
        <f>'приложение 1.1 '!B22</f>
        <v>Подстанции 35/6кВ</v>
      </c>
      <c r="C20" s="519"/>
      <c r="D20" s="519"/>
      <c r="E20" s="519"/>
      <c r="F20" s="519"/>
      <c r="G20" s="519"/>
      <c r="H20" s="519"/>
      <c r="I20" s="519"/>
      <c r="J20" s="519"/>
      <c r="K20" s="519"/>
      <c r="L20" s="519"/>
      <c r="M20" s="519"/>
      <c r="N20" s="519"/>
      <c r="O20" s="519"/>
      <c r="P20" s="519"/>
      <c r="Q20" s="519"/>
      <c r="R20" s="519"/>
      <c r="S20" s="519"/>
      <c r="T20" s="519"/>
      <c r="U20" s="519"/>
      <c r="V20" s="519"/>
      <c r="W20" s="519"/>
      <c r="X20" s="519"/>
      <c r="Y20" s="519"/>
      <c r="Z20" s="522"/>
      <c r="AA20" s="522"/>
      <c r="AB20" s="546"/>
      <c r="AC20" s="546"/>
      <c r="AD20" s="546"/>
      <c r="AE20" s="546"/>
      <c r="AF20" s="546"/>
      <c r="AG20" s="546"/>
      <c r="AH20" s="546"/>
      <c r="AI20" s="546"/>
      <c r="AJ20" s="546"/>
      <c r="AK20" s="546"/>
      <c r="AL20" s="546"/>
      <c r="AM20" s="546"/>
      <c r="AN20" s="546"/>
      <c r="AO20" s="546"/>
      <c r="AP20" s="546"/>
      <c r="AQ20" s="546"/>
      <c r="AR20" s="546"/>
      <c r="AS20" s="546"/>
      <c r="AT20" s="546"/>
      <c r="AU20" s="545"/>
    </row>
    <row r="21" spans="1:47" ht="54.95" customHeight="1">
      <c r="A21" s="360" t="str">
        <f>'приложение 1.1 '!A23</f>
        <v>1.1.1.1</v>
      </c>
      <c r="B21" s="225" t="str">
        <f>'приложение 1.1 '!B23</f>
        <v>Реконструкция ПС №68 -35/6кВ (Замена тр-ров 1TONb 4000/35/6кВА на 1ТД 10000/35/6кВА; 1ЗРУ-6кВ на 1КРУ-6кВ)</v>
      </c>
      <c r="C21" s="519">
        <f>'приложение 1.1 '!L23</f>
        <v>0</v>
      </c>
      <c r="D21" s="519">
        <f>'приложение 1.1 '!K23</f>
        <v>0</v>
      </c>
      <c r="E21" s="519">
        <f>'приложение 1.1 '!N23</f>
        <v>20</v>
      </c>
      <c r="F21" s="519">
        <f>'приложение 1.1 '!M23</f>
        <v>0</v>
      </c>
      <c r="G21" s="519">
        <f>'приложение 1.1 '!P23</f>
        <v>0</v>
      </c>
      <c r="H21" s="519">
        <f>'приложение 1.1 '!O23</f>
        <v>0</v>
      </c>
      <c r="I21" s="519">
        <f>'приложение 1.1 '!R23</f>
        <v>0</v>
      </c>
      <c r="J21" s="519">
        <f>'приложение 1.1 '!Q23</f>
        <v>0</v>
      </c>
      <c r="K21" s="519">
        <f>'приложение 1.1 '!T23</f>
        <v>0</v>
      </c>
      <c r="L21" s="519">
        <f>'приложение 1.1 '!S23</f>
        <v>0</v>
      </c>
      <c r="M21" s="519">
        <f>SUM(C21,E21,K21,G21,I21)</f>
        <v>20</v>
      </c>
      <c r="N21" s="519">
        <f>SUM(D21,F21,L21,H21,J21)</f>
        <v>0</v>
      </c>
      <c r="O21" s="519">
        <v>0</v>
      </c>
      <c r="P21" s="519">
        <v>0</v>
      </c>
      <c r="Q21" s="519">
        <v>8</v>
      </c>
      <c r="R21" s="519">
        <v>0</v>
      </c>
      <c r="S21" s="519">
        <v>0</v>
      </c>
      <c r="T21" s="519">
        <v>0</v>
      </c>
      <c r="U21" s="519">
        <v>0</v>
      </c>
      <c r="V21" s="519">
        <v>0</v>
      </c>
      <c r="W21" s="519">
        <v>0</v>
      </c>
      <c r="X21" s="519">
        <v>0</v>
      </c>
      <c r="Y21" s="519">
        <f>SUM(O21,Q21,W21,S21,U21)</f>
        <v>8</v>
      </c>
      <c r="Z21" s="522">
        <f>SUM(P21,R21,X21,T21,V21)</f>
        <v>0</v>
      </c>
      <c r="AA21" s="522">
        <f>AU21/1.18</f>
        <v>70</v>
      </c>
      <c r="AB21" s="546"/>
      <c r="AC21" s="546"/>
      <c r="AD21" s="546"/>
      <c r="AE21" s="546"/>
      <c r="AF21" s="546"/>
      <c r="AG21" s="546"/>
      <c r="AH21" s="546">
        <v>20</v>
      </c>
      <c r="AI21" s="546"/>
      <c r="AJ21" s="546">
        <f>AB21+AD21+AF21+AH21</f>
        <v>20</v>
      </c>
      <c r="AK21" s="546">
        <f>AC21+AE21+AG21+AI21</f>
        <v>0</v>
      </c>
      <c r="AL21" s="546"/>
      <c r="AM21" s="546"/>
      <c r="AN21" s="546"/>
      <c r="AO21" s="546">
        <f>AP21</f>
        <v>44.750319999999995</v>
      </c>
      <c r="AP21" s="546">
        <f>'приложение 1.1 '!X23</f>
        <v>44.750319999999995</v>
      </c>
      <c r="AQ21" s="546">
        <f>'приложение 1.1 '!W23</f>
        <v>11.366082</v>
      </c>
      <c r="AR21" s="546">
        <f>'приложение 1.1 '!Y23</f>
        <v>26.483598000000001</v>
      </c>
      <c r="AS21" s="546">
        <f>'приложение 1.1 '!Z23</f>
        <v>0</v>
      </c>
      <c r="AT21" s="546">
        <f>'приложение 1.1 '!AA23</f>
        <v>0</v>
      </c>
      <c r="AU21" s="545">
        <f>SUM(AP21:AT21)</f>
        <v>82.6</v>
      </c>
    </row>
    <row r="22" spans="1:47" ht="48" customHeight="1">
      <c r="A22" s="359" t="str">
        <f>'приложение 1.1 '!A24</f>
        <v>1.1.1.2</v>
      </c>
      <c r="B22" s="457" t="str">
        <f>'приложение 1.1 '!B24</f>
        <v>Реконструкция ПС №121 -35/6кВ (Замена тр-ров 2TONb 4000/35/6кВА на 2ТД 10000/35/6кВА; 2ЗРУ-6кВ на 2КРУ-6кВ)</v>
      </c>
      <c r="C22" s="519">
        <f>'приложение 1.1 '!L24</f>
        <v>0</v>
      </c>
      <c r="D22" s="519">
        <f>'приложение 1.1 '!K24</f>
        <v>0</v>
      </c>
      <c r="E22" s="519">
        <f>'приложение 1.1 '!N24</f>
        <v>0</v>
      </c>
      <c r="F22" s="519">
        <f>'приложение 1.1 '!M24</f>
        <v>0</v>
      </c>
      <c r="G22" s="519">
        <f>'приложение 1.1 '!P24</f>
        <v>10</v>
      </c>
      <c r="H22" s="519">
        <f>'приложение 1.1 '!O24</f>
        <v>0</v>
      </c>
      <c r="I22" s="519">
        <f>'приложение 1.1 '!R24</f>
        <v>10</v>
      </c>
      <c r="J22" s="519">
        <f>'приложение 1.1 '!Q24</f>
        <v>0</v>
      </c>
      <c r="K22" s="519">
        <f>'приложение 1.1 '!T24</f>
        <v>0</v>
      </c>
      <c r="L22" s="519">
        <f>'приложение 1.1 '!S24</f>
        <v>0</v>
      </c>
      <c r="M22" s="519">
        <f t="shared" ref="M22:N24" si="2">SUM(C22,E22,K22,G22,I22)</f>
        <v>20</v>
      </c>
      <c r="N22" s="519">
        <f t="shared" si="2"/>
        <v>0</v>
      </c>
      <c r="O22" s="519">
        <v>0</v>
      </c>
      <c r="P22" s="519">
        <v>0</v>
      </c>
      <c r="Q22" s="519">
        <v>0</v>
      </c>
      <c r="R22" s="519">
        <v>0</v>
      </c>
      <c r="S22" s="519">
        <v>4</v>
      </c>
      <c r="T22" s="519">
        <v>0</v>
      </c>
      <c r="U22" s="519">
        <v>0</v>
      </c>
      <c r="V22" s="519">
        <v>0</v>
      </c>
      <c r="W22" s="519">
        <v>0</v>
      </c>
      <c r="X22" s="519">
        <v>0</v>
      </c>
      <c r="Y22" s="519">
        <f t="shared" ref="Y22:Z24" si="3">SUM(O22,Q22,W22,S22,U22)</f>
        <v>4</v>
      </c>
      <c r="Z22" s="522">
        <f t="shared" si="3"/>
        <v>0</v>
      </c>
      <c r="AA22" s="522">
        <f>AU22/1.18</f>
        <v>65.235131614406782</v>
      </c>
      <c r="AB22" s="546"/>
      <c r="AC22" s="546"/>
      <c r="AD22" s="546"/>
      <c r="AE22" s="546"/>
      <c r="AF22" s="546"/>
      <c r="AG22" s="546"/>
      <c r="AH22" s="546"/>
      <c r="AI22" s="546"/>
      <c r="AJ22" s="546">
        <f t="shared" ref="AJ22:AK24" si="4">AB22+AD22+AF22+AH22</f>
        <v>0</v>
      </c>
      <c r="AK22" s="546">
        <f t="shared" si="4"/>
        <v>0</v>
      </c>
      <c r="AL22" s="546"/>
      <c r="AM22" s="546"/>
      <c r="AN22" s="546"/>
      <c r="AO22" s="546">
        <f>AP22</f>
        <v>0</v>
      </c>
      <c r="AP22" s="546">
        <f>'приложение 1.1 '!X24</f>
        <v>0</v>
      </c>
      <c r="AQ22" s="546">
        <f>'приложение 1.1 '!W24</f>
        <v>0</v>
      </c>
      <c r="AR22" s="546">
        <f>'приложение 1.1 '!Y24</f>
        <v>29.47940663</v>
      </c>
      <c r="AS22" s="546">
        <f>'приложение 1.1 '!Z24</f>
        <v>47.498048675</v>
      </c>
      <c r="AT22" s="546">
        <f>'приложение 1.1 '!AA24</f>
        <v>0</v>
      </c>
      <c r="AU22" s="545">
        <f t="shared" ref="AU22:AU24" si="5">SUM(AP22:AT22)</f>
        <v>76.977455305000007</v>
      </c>
    </row>
    <row r="23" spans="1:47" ht="27.75" customHeight="1">
      <c r="A23" s="169" t="str">
        <f>'приложение 1.1 '!A25</f>
        <v>1.1.2.</v>
      </c>
      <c r="B23" s="180" t="str">
        <f>'приложение 1.1 '!B25</f>
        <v>Воздушные линии 35/6кВ</v>
      </c>
      <c r="C23" s="519"/>
      <c r="D23" s="519"/>
      <c r="E23" s="519"/>
      <c r="F23" s="519"/>
      <c r="G23" s="519"/>
      <c r="H23" s="519"/>
      <c r="I23" s="519"/>
      <c r="J23" s="519"/>
      <c r="K23" s="519"/>
      <c r="L23" s="519"/>
      <c r="M23" s="519"/>
      <c r="N23" s="519"/>
      <c r="O23" s="519"/>
      <c r="P23" s="519"/>
      <c r="Q23" s="519"/>
      <c r="R23" s="519"/>
      <c r="S23" s="519"/>
      <c r="T23" s="519"/>
      <c r="U23" s="519"/>
      <c r="V23" s="519"/>
      <c r="W23" s="519"/>
      <c r="X23" s="519"/>
      <c r="Y23" s="519"/>
      <c r="Z23" s="522"/>
      <c r="AA23" s="522"/>
      <c r="AB23" s="546"/>
      <c r="AC23" s="546"/>
      <c r="AD23" s="546"/>
      <c r="AE23" s="546"/>
      <c r="AF23" s="546"/>
      <c r="AG23" s="546"/>
      <c r="AH23" s="546"/>
      <c r="AI23" s="546"/>
      <c r="AJ23" s="546"/>
      <c r="AK23" s="546"/>
      <c r="AL23" s="546"/>
      <c r="AM23" s="546"/>
      <c r="AN23" s="546"/>
      <c r="AO23" s="546"/>
      <c r="AP23" s="546">
        <f>'приложение 1.1 '!X25</f>
        <v>0</v>
      </c>
      <c r="AQ23" s="546">
        <f>'приложение 1.1 '!W25</f>
        <v>0</v>
      </c>
      <c r="AR23" s="546">
        <f>'приложение 1.1 '!Y25</f>
        <v>0</v>
      </c>
      <c r="AS23" s="546">
        <f>'приложение 1.1 '!Z25</f>
        <v>0</v>
      </c>
      <c r="AT23" s="546">
        <f>'приложение 1.1 '!AA25</f>
        <v>0</v>
      </c>
      <c r="AU23" s="545">
        <f t="shared" si="5"/>
        <v>0</v>
      </c>
    </row>
    <row r="24" spans="1:47" ht="48" customHeight="1">
      <c r="A24" s="359" t="str">
        <f>'приложение 1.1 '!A26</f>
        <v>1.1.2.1</v>
      </c>
      <c r="B24" s="457" t="str">
        <f>'приложение 1.1 '!B26</f>
        <v>Реконструкция ВЛ-35кВ от ВЛ-35 кВ "Восточный-1,2" до ПС 35/6 кВ "121,68"</v>
      </c>
      <c r="C24" s="519" t="str">
        <f>IF('приложение 1.1 '!G26=2016,'приложение 1.1 '!E26,"0,00")</f>
        <v>0,00</v>
      </c>
      <c r="D24" s="519" t="str">
        <f>IF('приложение 1.1 '!G26=2016,'приложение 1.1 '!D26,"0,00")</f>
        <v>0,00</v>
      </c>
      <c r="E24" s="519" t="str">
        <f>IF('приложение 1.1 '!G26=2017,'приложение 1.1 '!E26,"0,00")</f>
        <v>0,00</v>
      </c>
      <c r="F24" s="519" t="str">
        <f>IF('приложение 1.1 '!G26=2017,'приложение 1.1 '!D26,"0,00")</f>
        <v>0,00</v>
      </c>
      <c r="G24" s="519" t="str">
        <f>IF('приложение 1.1 '!G26=2018,'приложение 1.1 '!E26,"0,00")</f>
        <v>0,00</v>
      </c>
      <c r="H24" s="519" t="str">
        <f>IF('приложение 1.1 '!G26=2018,'приложение 1.1 '!D26,"0,00")</f>
        <v>0,00</v>
      </c>
      <c r="I24" s="519">
        <f>IF('приложение 1.1 '!G26=2019,'приложение 1.1 '!E26,"0,00")</f>
        <v>0</v>
      </c>
      <c r="J24" s="519">
        <f>IF('приложение 1.1 '!G26=2019,'приложение 1.1 '!D26,"0,00")</f>
        <v>13.353999999999999</v>
      </c>
      <c r="K24" s="519" t="str">
        <f>IF('приложение 1.1 '!G26=2020,'приложение 1.1 '!E26,"0,00")</f>
        <v>0,00</v>
      </c>
      <c r="L24" s="519" t="str">
        <f>IF('приложение 1.1 '!G26=2020,'приложение 1.1 '!D26,"0,00")</f>
        <v>0,00</v>
      </c>
      <c r="M24" s="519">
        <f t="shared" si="2"/>
        <v>0</v>
      </c>
      <c r="N24" s="519">
        <f t="shared" si="2"/>
        <v>13.353999999999999</v>
      </c>
      <c r="O24" s="519">
        <v>0</v>
      </c>
      <c r="P24" s="519" t="str">
        <f t="shared" ref="P24" si="6">D24</f>
        <v>0,00</v>
      </c>
      <c r="Q24" s="519">
        <v>0</v>
      </c>
      <c r="R24" s="519" t="str">
        <f t="shared" ref="R24" si="7">F24</f>
        <v>0,00</v>
      </c>
      <c r="S24" s="519">
        <v>0</v>
      </c>
      <c r="T24" s="519" t="str">
        <f t="shared" ref="T24" si="8">H24</f>
        <v>0,00</v>
      </c>
      <c r="U24" s="519">
        <v>0</v>
      </c>
      <c r="V24" s="519">
        <f t="shared" ref="V24" si="9">J24</f>
        <v>13.353999999999999</v>
      </c>
      <c r="W24" s="519">
        <v>0</v>
      </c>
      <c r="X24" s="519" t="str">
        <f t="shared" ref="X24" si="10">L24</f>
        <v>0,00</v>
      </c>
      <c r="Y24" s="519">
        <f t="shared" si="3"/>
        <v>0</v>
      </c>
      <c r="Z24" s="522">
        <f t="shared" si="3"/>
        <v>13.353999999999999</v>
      </c>
      <c r="AA24" s="522">
        <f t="shared" ref="AA24" si="11">AU24/1.18</f>
        <v>5.6245219999999998</v>
      </c>
      <c r="AB24" s="546"/>
      <c r="AC24" s="546"/>
      <c r="AD24" s="546"/>
      <c r="AE24" s="546"/>
      <c r="AF24" s="546"/>
      <c r="AG24" s="546"/>
      <c r="AH24" s="546"/>
      <c r="AI24" s="546"/>
      <c r="AJ24" s="546">
        <f t="shared" si="4"/>
        <v>0</v>
      </c>
      <c r="AK24" s="546">
        <f t="shared" si="4"/>
        <v>0</v>
      </c>
      <c r="AL24" s="546"/>
      <c r="AM24" s="546"/>
      <c r="AN24" s="546"/>
      <c r="AO24" s="546"/>
      <c r="AP24" s="546">
        <f>'приложение 1.1 '!X26</f>
        <v>0</v>
      </c>
      <c r="AQ24" s="546">
        <f>'приложение 1.1 '!W26</f>
        <v>0</v>
      </c>
      <c r="AR24" s="546">
        <f>'приложение 1.1 '!Y26</f>
        <v>0</v>
      </c>
      <c r="AS24" s="546">
        <f>'приложение 1.1 '!Z26</f>
        <v>6.6369359599999997</v>
      </c>
      <c r="AT24" s="546">
        <f>'приложение 1.1 '!AA26</f>
        <v>0</v>
      </c>
      <c r="AU24" s="545">
        <f t="shared" si="5"/>
        <v>6.6369359599999997</v>
      </c>
    </row>
    <row r="25" spans="1:47">
      <c r="A25" s="359"/>
      <c r="B25" s="180" t="str">
        <f>'приложение 1.1 '!B27</f>
        <v>Итого по разделу 1.1.1.</v>
      </c>
      <c r="C25" s="203">
        <f>SUM(C20:C24)</f>
        <v>0</v>
      </c>
      <c r="D25" s="203">
        <f t="shared" ref="D25:AU25" si="12">SUM(D20:D24)</f>
        <v>0</v>
      </c>
      <c r="E25" s="203">
        <f t="shared" si="12"/>
        <v>20</v>
      </c>
      <c r="F25" s="203">
        <f t="shared" si="12"/>
        <v>0</v>
      </c>
      <c r="G25" s="203">
        <f t="shared" si="12"/>
        <v>10</v>
      </c>
      <c r="H25" s="203">
        <f t="shared" si="12"/>
        <v>0</v>
      </c>
      <c r="I25" s="203">
        <f t="shared" si="12"/>
        <v>10</v>
      </c>
      <c r="J25" s="203">
        <f t="shared" si="12"/>
        <v>13.353999999999999</v>
      </c>
      <c r="K25" s="203">
        <f t="shared" si="12"/>
        <v>0</v>
      </c>
      <c r="L25" s="203">
        <f t="shared" si="12"/>
        <v>0</v>
      </c>
      <c r="M25" s="203">
        <f t="shared" si="12"/>
        <v>40</v>
      </c>
      <c r="N25" s="203">
        <f t="shared" si="12"/>
        <v>13.353999999999999</v>
      </c>
      <c r="O25" s="203">
        <f t="shared" si="12"/>
        <v>0</v>
      </c>
      <c r="P25" s="203">
        <f t="shared" si="12"/>
        <v>0</v>
      </c>
      <c r="Q25" s="203">
        <f t="shared" si="12"/>
        <v>8</v>
      </c>
      <c r="R25" s="203">
        <f t="shared" si="12"/>
        <v>0</v>
      </c>
      <c r="S25" s="203">
        <f t="shared" si="12"/>
        <v>4</v>
      </c>
      <c r="T25" s="203">
        <f t="shared" si="12"/>
        <v>0</v>
      </c>
      <c r="U25" s="203">
        <f t="shared" si="12"/>
        <v>0</v>
      </c>
      <c r="V25" s="203">
        <f t="shared" si="12"/>
        <v>13.353999999999999</v>
      </c>
      <c r="W25" s="203">
        <f t="shared" si="12"/>
        <v>0</v>
      </c>
      <c r="X25" s="203">
        <f t="shared" si="12"/>
        <v>0</v>
      </c>
      <c r="Y25" s="203">
        <f t="shared" si="12"/>
        <v>12</v>
      </c>
      <c r="Z25" s="203">
        <f t="shared" si="12"/>
        <v>13.353999999999999</v>
      </c>
      <c r="AA25" s="203">
        <f t="shared" si="12"/>
        <v>140.8596536144068</v>
      </c>
      <c r="AB25" s="521">
        <f t="shared" si="12"/>
        <v>0</v>
      </c>
      <c r="AC25" s="521">
        <f t="shared" si="12"/>
        <v>0</v>
      </c>
      <c r="AD25" s="521">
        <f t="shared" si="12"/>
        <v>0</v>
      </c>
      <c r="AE25" s="521">
        <f t="shared" si="12"/>
        <v>0</v>
      </c>
      <c r="AF25" s="521">
        <f t="shared" si="12"/>
        <v>0</v>
      </c>
      <c r="AG25" s="521">
        <f t="shared" si="12"/>
        <v>0</v>
      </c>
      <c r="AH25" s="521">
        <f t="shared" si="12"/>
        <v>20</v>
      </c>
      <c r="AI25" s="521">
        <f t="shared" si="12"/>
        <v>0</v>
      </c>
      <c r="AJ25" s="521">
        <f t="shared" si="12"/>
        <v>20</v>
      </c>
      <c r="AK25" s="521">
        <f t="shared" si="12"/>
        <v>0</v>
      </c>
      <c r="AL25" s="521">
        <f t="shared" si="12"/>
        <v>0</v>
      </c>
      <c r="AM25" s="521">
        <f t="shared" si="12"/>
        <v>0</v>
      </c>
      <c r="AN25" s="521">
        <f t="shared" si="12"/>
        <v>0</v>
      </c>
      <c r="AO25" s="521">
        <f t="shared" si="12"/>
        <v>44.750319999999995</v>
      </c>
      <c r="AP25" s="521">
        <f t="shared" si="12"/>
        <v>44.750319999999995</v>
      </c>
      <c r="AQ25" s="521">
        <f t="shared" si="12"/>
        <v>11.366082</v>
      </c>
      <c r="AR25" s="521">
        <f t="shared" si="12"/>
        <v>55.96300463</v>
      </c>
      <c r="AS25" s="521">
        <f t="shared" si="12"/>
        <v>54.134984635000002</v>
      </c>
      <c r="AT25" s="521">
        <f t="shared" si="12"/>
        <v>0</v>
      </c>
      <c r="AU25" s="521">
        <f t="shared" si="12"/>
        <v>166.21439126499999</v>
      </c>
    </row>
    <row r="26" spans="1:47">
      <c r="A26" s="169" t="str">
        <f>'приложение 1.1 '!A28</f>
        <v>1.2.</v>
      </c>
      <c r="B26" s="180" t="str">
        <f>'приложение 1.1 '!B28</f>
        <v xml:space="preserve">Создание систем телемеханики и связи </v>
      </c>
      <c r="C26" s="518"/>
      <c r="D26" s="519"/>
      <c r="E26" s="518"/>
      <c r="F26" s="518"/>
      <c r="G26" s="518"/>
      <c r="H26" s="518"/>
      <c r="I26" s="518"/>
      <c r="J26" s="518"/>
      <c r="K26" s="518"/>
      <c r="L26" s="518"/>
      <c r="M26" s="518"/>
      <c r="N26" s="518"/>
      <c r="O26" s="518"/>
      <c r="P26" s="519"/>
      <c r="Q26" s="518"/>
      <c r="R26" s="518"/>
      <c r="S26" s="518"/>
      <c r="T26" s="518"/>
      <c r="U26" s="518"/>
      <c r="V26" s="518"/>
      <c r="W26" s="518"/>
      <c r="X26" s="518"/>
      <c r="Y26" s="527"/>
      <c r="Z26" s="527"/>
      <c r="AA26" s="527"/>
      <c r="AB26" s="546"/>
      <c r="AC26" s="546"/>
      <c r="AD26" s="546"/>
      <c r="AE26" s="546"/>
      <c r="AF26" s="546"/>
      <c r="AG26" s="546"/>
      <c r="AH26" s="546"/>
      <c r="AI26" s="546"/>
      <c r="AJ26" s="546"/>
      <c r="AK26" s="546"/>
      <c r="AL26" s="546"/>
      <c r="AM26" s="546"/>
      <c r="AN26" s="546"/>
      <c r="AO26" s="546"/>
      <c r="AP26" s="546"/>
      <c r="AQ26" s="546"/>
      <c r="AR26" s="546"/>
      <c r="AS26" s="546"/>
      <c r="AT26" s="546"/>
      <c r="AU26" s="546"/>
    </row>
    <row r="27" spans="1:47" ht="31.5">
      <c r="A27" s="359" t="str">
        <f>'приложение 1.1 '!A29</f>
        <v>1.2.1.</v>
      </c>
      <c r="B27" s="457" t="str">
        <f>'приложение 1.1 '!B29</f>
        <v>Монтаж системы телемеханики на ПС №68 -35/6кВ</v>
      </c>
      <c r="C27" s="519" t="str">
        <f>IF('приложение 1.1 '!G29=2016,'приложение 1.1 '!E29,"0,00")</f>
        <v>0,00</v>
      </c>
      <c r="D27" s="519" t="str">
        <f>IF('приложение 1.1 '!G29=2016,'приложение 1.1 '!D29,"0,00")</f>
        <v>0,00</v>
      </c>
      <c r="E27" s="519" t="str">
        <f>IF('приложение 1.1 '!G29=2017,'приложение 1.1 '!E29,"0,00")</f>
        <v>0,00</v>
      </c>
      <c r="F27" s="519" t="str">
        <f>IF('приложение 1.1 '!G29=2017,'приложение 1.1 '!D29,"0,00")</f>
        <v>0,00</v>
      </c>
      <c r="G27" s="519" t="str">
        <f>IF('приложение 1.1 '!G29=2018,'приложение 1.1 '!E29,"0,00")</f>
        <v>0,00</v>
      </c>
      <c r="H27" s="519" t="str">
        <f>IF('приложение 1.1 '!G29=2018,'приложение 1.1 '!D29,"0,00")</f>
        <v>0,00</v>
      </c>
      <c r="I27" s="519">
        <f>IF('приложение 1.1 '!G29=2019,'приложение 1.1 '!E29,"0,00")</f>
        <v>0</v>
      </c>
      <c r="J27" s="519">
        <f>IF('приложение 1.1 '!G29=2019,'приложение 1.1 '!D29,"0,00")</f>
        <v>0</v>
      </c>
      <c r="K27" s="519" t="str">
        <f>IF('приложение 1.1 '!G29=2020,'приложение 1.1 '!E29,"0,00")</f>
        <v>0,00</v>
      </c>
      <c r="L27" s="519" t="str">
        <f>IF('приложение 1.1 '!G29=2020,'приложение 1.1 '!D29,"0,00")</f>
        <v>0,00</v>
      </c>
      <c r="M27" s="519">
        <f t="shared" ref="M27:N28" si="13">SUM(C27,E27,K27,G27,I27)</f>
        <v>0</v>
      </c>
      <c r="N27" s="519">
        <f t="shared" si="13"/>
        <v>0</v>
      </c>
      <c r="O27" s="519">
        <v>0</v>
      </c>
      <c r="P27" s="519" t="str">
        <f t="shared" ref="P27:P28" si="14">D27</f>
        <v>0,00</v>
      </c>
      <c r="Q27" s="519">
        <v>0</v>
      </c>
      <c r="R27" s="519" t="str">
        <f t="shared" ref="R27:R28" si="15">F27</f>
        <v>0,00</v>
      </c>
      <c r="S27" s="519">
        <v>0</v>
      </c>
      <c r="T27" s="519" t="str">
        <f t="shared" ref="T27:T28" si="16">H27</f>
        <v>0,00</v>
      </c>
      <c r="U27" s="519">
        <v>0</v>
      </c>
      <c r="V27" s="519">
        <f t="shared" ref="V27:V28" si="17">J27</f>
        <v>0</v>
      </c>
      <c r="W27" s="519">
        <v>0</v>
      </c>
      <c r="X27" s="519" t="str">
        <f t="shared" ref="X27:X28" si="18">L27</f>
        <v>0,00</v>
      </c>
      <c r="Y27" s="519">
        <f t="shared" ref="Y27:Z28" si="19">SUM(O27,Q27,W27,S27,U27)</f>
        <v>0</v>
      </c>
      <c r="Z27" s="522">
        <f t="shared" si="19"/>
        <v>0</v>
      </c>
      <c r="AA27" s="522">
        <f>AU27/1.18</f>
        <v>2.6970000000000005</v>
      </c>
      <c r="AB27" s="546"/>
      <c r="AC27" s="546"/>
      <c r="AD27" s="546"/>
      <c r="AE27" s="546"/>
      <c r="AF27" s="546"/>
      <c r="AG27" s="546"/>
      <c r="AH27" s="546"/>
      <c r="AI27" s="546"/>
      <c r="AJ27" s="546">
        <f t="shared" ref="AJ27:AK28" si="20">AB27+AD27+AF27+AH27</f>
        <v>0</v>
      </c>
      <c r="AK27" s="546">
        <f t="shared" si="20"/>
        <v>0</v>
      </c>
      <c r="AL27" s="546"/>
      <c r="AM27" s="546">
        <f>AP27</f>
        <v>0</v>
      </c>
      <c r="AN27" s="546"/>
      <c r="AO27" s="546"/>
      <c r="AP27" s="546">
        <f>'приложение 1.1 '!X29</f>
        <v>0</v>
      </c>
      <c r="AQ27" s="546">
        <f>'приложение 1.1 '!W29</f>
        <v>0</v>
      </c>
      <c r="AR27" s="546">
        <f>'приложение 1.1 '!Y29</f>
        <v>0.17346</v>
      </c>
      <c r="AS27" s="546">
        <f>'приложение 1.1 '!Z29</f>
        <v>3.0090000000000003</v>
      </c>
      <c r="AT27" s="546">
        <f>'приложение 1.1 '!AA29</f>
        <v>0</v>
      </c>
      <c r="AU27" s="545">
        <f>SUM(AP27:AT27)</f>
        <v>3.1824600000000003</v>
      </c>
    </row>
    <row r="28" spans="1:47" ht="31.5">
      <c r="A28" s="359" t="str">
        <f>'приложение 1.1 '!A30</f>
        <v>1.2.2.</v>
      </c>
      <c r="B28" s="457" t="str">
        <f>'приложение 1.1 '!B30</f>
        <v>Монтаж системы телемеханики на ПС №121-35/6кВ</v>
      </c>
      <c r="C28" s="519" t="str">
        <f>IF('приложение 1.1 '!G30=2016,'приложение 1.1 '!E30,"0,00")</f>
        <v>0,00</v>
      </c>
      <c r="D28" s="519" t="str">
        <f>IF('приложение 1.1 '!G30=2016,'приложение 1.1 '!D30,"0,00")</f>
        <v>0,00</v>
      </c>
      <c r="E28" s="519" t="str">
        <f>IF('приложение 1.1 '!G30=2017,'приложение 1.1 '!E30,"0,00")</f>
        <v>0,00</v>
      </c>
      <c r="F28" s="519" t="str">
        <f>IF('приложение 1.1 '!G30=2017,'приложение 1.1 '!D30,"0,00")</f>
        <v>0,00</v>
      </c>
      <c r="G28" s="519" t="str">
        <f>IF('приложение 1.1 '!G30=2018,'приложение 1.1 '!E30,"0,00")</f>
        <v>0,00</v>
      </c>
      <c r="H28" s="519" t="str">
        <f>IF('приложение 1.1 '!G30=2018,'приложение 1.1 '!D30,"0,00")</f>
        <v>0,00</v>
      </c>
      <c r="I28" s="519" t="str">
        <f>IF('приложение 1.1 '!G30=2019,'приложение 1.1 '!E30,"0,00")</f>
        <v>0,00</v>
      </c>
      <c r="J28" s="519" t="str">
        <f>IF('приложение 1.1 '!G30=2019,'приложение 1.1 '!D30,"0,00")</f>
        <v>0,00</v>
      </c>
      <c r="K28" s="519">
        <f>IF('приложение 1.1 '!G30=2020,'приложение 1.1 '!E30,"0,00")</f>
        <v>0</v>
      </c>
      <c r="L28" s="519">
        <f>IF('приложение 1.1 '!G30=2020,'приложение 1.1 '!D30,"0,00")</f>
        <v>0</v>
      </c>
      <c r="M28" s="519">
        <f t="shared" si="13"/>
        <v>0</v>
      </c>
      <c r="N28" s="519">
        <f t="shared" si="13"/>
        <v>0</v>
      </c>
      <c r="O28" s="519">
        <v>0</v>
      </c>
      <c r="P28" s="519" t="str">
        <f t="shared" si="14"/>
        <v>0,00</v>
      </c>
      <c r="Q28" s="519">
        <v>0</v>
      </c>
      <c r="R28" s="519" t="str">
        <f t="shared" si="15"/>
        <v>0,00</v>
      </c>
      <c r="S28" s="519">
        <v>0</v>
      </c>
      <c r="T28" s="519" t="str">
        <f t="shared" si="16"/>
        <v>0,00</v>
      </c>
      <c r="U28" s="519">
        <v>0</v>
      </c>
      <c r="V28" s="519" t="str">
        <f t="shared" si="17"/>
        <v>0,00</v>
      </c>
      <c r="W28" s="519">
        <v>0</v>
      </c>
      <c r="X28" s="519">
        <f t="shared" si="18"/>
        <v>0</v>
      </c>
      <c r="Y28" s="519">
        <f t="shared" si="19"/>
        <v>0</v>
      </c>
      <c r="Z28" s="522">
        <f t="shared" si="19"/>
        <v>0</v>
      </c>
      <c r="AA28" s="522">
        <f>AU28/1.18</f>
        <v>2.6970000000000005</v>
      </c>
      <c r="AB28" s="547"/>
      <c r="AC28" s="547"/>
      <c r="AD28" s="547"/>
      <c r="AE28" s="547"/>
      <c r="AF28" s="547"/>
      <c r="AG28" s="547"/>
      <c r="AH28" s="547"/>
      <c r="AI28" s="547"/>
      <c r="AJ28" s="546">
        <f t="shared" si="20"/>
        <v>0</v>
      </c>
      <c r="AK28" s="546">
        <f t="shared" si="20"/>
        <v>0</v>
      </c>
      <c r="AL28" s="546"/>
      <c r="AM28" s="546">
        <f>AP28</f>
        <v>0</v>
      </c>
      <c r="AN28" s="546"/>
      <c r="AO28" s="546"/>
      <c r="AP28" s="546">
        <f>'приложение 1.1 '!X30</f>
        <v>0</v>
      </c>
      <c r="AQ28" s="546">
        <f>'приложение 1.1 '!W30</f>
        <v>0</v>
      </c>
      <c r="AR28" s="546">
        <f>'приложение 1.1 '!Y30</f>
        <v>0.17346</v>
      </c>
      <c r="AS28" s="546">
        <f>'приложение 1.1 '!Z30</f>
        <v>0</v>
      </c>
      <c r="AT28" s="546">
        <f>'приложение 1.1 '!AA30</f>
        <v>3.0090000000000003</v>
      </c>
      <c r="AU28" s="545">
        <f>SUM(AP28:AT28)</f>
        <v>3.1824600000000003</v>
      </c>
    </row>
    <row r="29" spans="1:47">
      <c r="A29" s="652"/>
      <c r="B29" s="180" t="s">
        <v>218</v>
      </c>
      <c r="C29" s="520">
        <f>SUM(C27:C28)</f>
        <v>0</v>
      </c>
      <c r="D29" s="520">
        <f t="shared" ref="D29:AU29" si="21">SUM(D27:D28)</f>
        <v>0</v>
      </c>
      <c r="E29" s="520">
        <f t="shared" si="21"/>
        <v>0</v>
      </c>
      <c r="F29" s="520">
        <f t="shared" si="21"/>
        <v>0</v>
      </c>
      <c r="G29" s="520">
        <f t="shared" si="21"/>
        <v>0</v>
      </c>
      <c r="H29" s="520">
        <f t="shared" si="21"/>
        <v>0</v>
      </c>
      <c r="I29" s="520">
        <f t="shared" si="21"/>
        <v>0</v>
      </c>
      <c r="J29" s="520">
        <f t="shared" si="21"/>
        <v>0</v>
      </c>
      <c r="K29" s="520">
        <f t="shared" si="21"/>
        <v>0</v>
      </c>
      <c r="L29" s="520">
        <f t="shared" si="21"/>
        <v>0</v>
      </c>
      <c r="M29" s="520">
        <f t="shared" si="21"/>
        <v>0</v>
      </c>
      <c r="N29" s="520">
        <f t="shared" si="21"/>
        <v>0</v>
      </c>
      <c r="O29" s="520">
        <f t="shared" si="21"/>
        <v>0</v>
      </c>
      <c r="P29" s="520">
        <f t="shared" si="21"/>
        <v>0</v>
      </c>
      <c r="Q29" s="520">
        <f t="shared" si="21"/>
        <v>0</v>
      </c>
      <c r="R29" s="520">
        <f t="shared" si="21"/>
        <v>0</v>
      </c>
      <c r="S29" s="520">
        <f t="shared" si="21"/>
        <v>0</v>
      </c>
      <c r="T29" s="520">
        <f t="shared" si="21"/>
        <v>0</v>
      </c>
      <c r="U29" s="520">
        <f t="shared" si="21"/>
        <v>0</v>
      </c>
      <c r="V29" s="520">
        <f t="shared" si="21"/>
        <v>0</v>
      </c>
      <c r="W29" s="520">
        <f t="shared" si="21"/>
        <v>0</v>
      </c>
      <c r="X29" s="520">
        <f t="shared" si="21"/>
        <v>0</v>
      </c>
      <c r="Y29" s="520">
        <f t="shared" si="21"/>
        <v>0</v>
      </c>
      <c r="Z29" s="520">
        <f t="shared" si="21"/>
        <v>0</v>
      </c>
      <c r="AA29" s="520">
        <f t="shared" si="21"/>
        <v>5.394000000000001</v>
      </c>
      <c r="AB29" s="541">
        <f t="shared" si="21"/>
        <v>0</v>
      </c>
      <c r="AC29" s="541">
        <f t="shared" si="21"/>
        <v>0</v>
      </c>
      <c r="AD29" s="541">
        <f t="shared" si="21"/>
        <v>0</v>
      </c>
      <c r="AE29" s="541">
        <f t="shared" si="21"/>
        <v>0</v>
      </c>
      <c r="AF29" s="541">
        <f t="shared" si="21"/>
        <v>0</v>
      </c>
      <c r="AG29" s="541">
        <f t="shared" si="21"/>
        <v>0</v>
      </c>
      <c r="AH29" s="541">
        <f t="shared" si="21"/>
        <v>0</v>
      </c>
      <c r="AI29" s="541">
        <f t="shared" si="21"/>
        <v>0</v>
      </c>
      <c r="AJ29" s="541">
        <f t="shared" si="21"/>
        <v>0</v>
      </c>
      <c r="AK29" s="541">
        <f t="shared" si="21"/>
        <v>0</v>
      </c>
      <c r="AL29" s="541">
        <f t="shared" si="21"/>
        <v>0</v>
      </c>
      <c r="AM29" s="541">
        <f t="shared" si="21"/>
        <v>0</v>
      </c>
      <c r="AN29" s="541">
        <f t="shared" si="21"/>
        <v>0</v>
      </c>
      <c r="AO29" s="541">
        <f t="shared" si="21"/>
        <v>0</v>
      </c>
      <c r="AP29" s="541">
        <f t="shared" si="21"/>
        <v>0</v>
      </c>
      <c r="AQ29" s="541">
        <f t="shared" si="21"/>
        <v>0</v>
      </c>
      <c r="AR29" s="541">
        <f t="shared" si="21"/>
        <v>0.34692000000000001</v>
      </c>
      <c r="AS29" s="541">
        <f t="shared" si="21"/>
        <v>3.0090000000000003</v>
      </c>
      <c r="AT29" s="541">
        <f t="shared" si="21"/>
        <v>3.0090000000000003</v>
      </c>
      <c r="AU29" s="541">
        <f t="shared" si="21"/>
        <v>6.3649200000000006</v>
      </c>
    </row>
    <row r="30" spans="1:47" ht="39" customHeight="1">
      <c r="A30" s="169" t="str">
        <f>'приложение 1.1 '!A32</f>
        <v>1.3.</v>
      </c>
      <c r="B30" s="549" t="str">
        <f>'приложение 1.1 '!B32</f>
        <v>Монтаж системы АИИС КУЭ ПС; РП; ТП; КТПН</v>
      </c>
      <c r="C30" s="518"/>
      <c r="D30" s="530"/>
      <c r="E30" s="530"/>
      <c r="F30" s="519"/>
      <c r="G30" s="519"/>
      <c r="H30" s="519"/>
      <c r="I30" s="519"/>
      <c r="J30" s="519"/>
      <c r="K30" s="518"/>
      <c r="L30" s="518"/>
      <c r="M30" s="518"/>
      <c r="N30" s="518"/>
      <c r="O30" s="518"/>
      <c r="P30" s="519"/>
      <c r="Q30" s="518"/>
      <c r="R30" s="518"/>
      <c r="S30" s="518"/>
      <c r="T30" s="518"/>
      <c r="U30" s="518"/>
      <c r="V30" s="518"/>
      <c r="W30" s="518"/>
      <c r="X30" s="518"/>
      <c r="Y30" s="518"/>
      <c r="Z30" s="523"/>
      <c r="AA30" s="523"/>
      <c r="AB30" s="546"/>
      <c r="AC30" s="546"/>
      <c r="AD30" s="546"/>
      <c r="AE30" s="546"/>
      <c r="AF30" s="546"/>
      <c r="AG30" s="546"/>
      <c r="AH30" s="546"/>
      <c r="AI30" s="546"/>
      <c r="AJ30" s="546"/>
      <c r="AK30" s="546"/>
      <c r="AL30" s="546"/>
      <c r="AM30" s="546"/>
      <c r="AN30" s="546"/>
      <c r="AO30" s="546"/>
      <c r="AP30" s="546"/>
      <c r="AQ30" s="546"/>
      <c r="AR30" s="546"/>
      <c r="AS30" s="546"/>
      <c r="AT30" s="546"/>
      <c r="AU30" s="546"/>
    </row>
    <row r="31" spans="1:47" ht="31.5">
      <c r="A31" s="359" t="str">
        <f>'приложение 1.1 '!A33</f>
        <v>1.3.1.</v>
      </c>
      <c r="B31" s="503" t="str">
        <f>'приложение 1.1 '!B33</f>
        <v>Монтаж системы АИИС КУЭ на ПС №68 -35/6кВ</v>
      </c>
      <c r="C31" s="519" t="str">
        <f>IF('приложение 1.1 '!G33=2016,'приложение 1.1 '!E33,"0,00")</f>
        <v>0,00</v>
      </c>
      <c r="D31" s="519" t="str">
        <f>IF('приложение 1.1 '!G33=2016,'приложение 1.1 '!D33,"0,00")</f>
        <v>0,00</v>
      </c>
      <c r="E31" s="519" t="str">
        <f>IF('приложение 1.1 '!G33=2017,'приложение 1.1 '!E33,"0,00")</f>
        <v>0,00</v>
      </c>
      <c r="F31" s="519" t="str">
        <f>IF('приложение 1.1 '!G33=2017,'приложение 1.1 '!D33,"0,00")</f>
        <v>0,00</v>
      </c>
      <c r="G31" s="519">
        <f>IF('приложение 1.1 '!G33=2018,'приложение 1.1 '!E33,"0,00")</f>
        <v>0</v>
      </c>
      <c r="H31" s="519">
        <f>IF('приложение 1.1 '!G33=2018,'приложение 1.1 '!D33,"0,00")</f>
        <v>0</v>
      </c>
      <c r="I31" s="519" t="str">
        <f>IF('приложение 1.1 '!G33=2019,'приложение 1.1 '!E33,"0,00")</f>
        <v>0,00</v>
      </c>
      <c r="J31" s="519" t="str">
        <f>IF('приложение 1.1 '!G33=2019,'приложение 1.1 '!D33,"0,00")</f>
        <v>0,00</v>
      </c>
      <c r="K31" s="519" t="str">
        <f>IF('приложение 1.1 '!G33=2020,'приложение 1.1 '!E33,"0,00")</f>
        <v>0,00</v>
      </c>
      <c r="L31" s="519" t="str">
        <f>IF('приложение 1.1 '!G33=2020,'приложение 1.1 '!D33,"0,00")</f>
        <v>0,00</v>
      </c>
      <c r="M31" s="519">
        <f t="shared" ref="M31:N32" si="22">SUM(C31,E31,K31,G31,I31)</f>
        <v>0</v>
      </c>
      <c r="N31" s="519">
        <f t="shared" si="22"/>
        <v>0</v>
      </c>
      <c r="O31" s="519">
        <v>0</v>
      </c>
      <c r="P31" s="519" t="str">
        <f t="shared" ref="P31:P32" si="23">D31</f>
        <v>0,00</v>
      </c>
      <c r="Q31" s="519">
        <v>0</v>
      </c>
      <c r="R31" s="519" t="str">
        <f t="shared" ref="R31:R32" si="24">F31</f>
        <v>0,00</v>
      </c>
      <c r="S31" s="519">
        <v>0</v>
      </c>
      <c r="T31" s="519">
        <f t="shared" ref="T31:T32" si="25">H31</f>
        <v>0</v>
      </c>
      <c r="U31" s="519">
        <v>0</v>
      </c>
      <c r="V31" s="519" t="str">
        <f t="shared" ref="V31:V32" si="26">J31</f>
        <v>0,00</v>
      </c>
      <c r="W31" s="519">
        <v>0</v>
      </c>
      <c r="X31" s="519" t="str">
        <f t="shared" ref="X31:X32" si="27">L31</f>
        <v>0,00</v>
      </c>
      <c r="Y31" s="519">
        <f t="shared" ref="Y31:Z32" si="28">SUM(O31,Q31,W31,S31,U31)</f>
        <v>0</v>
      </c>
      <c r="Z31" s="522">
        <f t="shared" si="28"/>
        <v>0</v>
      </c>
      <c r="AA31" s="522">
        <f>AU31/1.18</f>
        <v>0.6419999999999999</v>
      </c>
      <c r="AB31" s="547"/>
      <c r="AC31" s="547"/>
      <c r="AD31" s="547"/>
      <c r="AE31" s="547"/>
      <c r="AF31" s="547"/>
      <c r="AG31" s="547"/>
      <c r="AH31" s="547"/>
      <c r="AI31" s="547"/>
      <c r="AJ31" s="546">
        <f t="shared" ref="AJ31:AK32" si="29">AB31+AD31+AF31+AH31</f>
        <v>0</v>
      </c>
      <c r="AK31" s="546">
        <f t="shared" si="29"/>
        <v>0</v>
      </c>
      <c r="AL31" s="546"/>
      <c r="AM31" s="546"/>
      <c r="AN31" s="546">
        <f>AP31</f>
        <v>0</v>
      </c>
      <c r="AO31" s="546"/>
      <c r="AP31" s="546">
        <f>'приложение 1.1 '!X33</f>
        <v>0</v>
      </c>
      <c r="AQ31" s="546">
        <f>'приложение 1.1 '!W33</f>
        <v>0</v>
      </c>
      <c r="AR31" s="546">
        <f>'приложение 1.1 '!Y33</f>
        <v>0.7575599999999999</v>
      </c>
      <c r="AS31" s="546">
        <f>'приложение 1.1 '!Z33</f>
        <v>0</v>
      </c>
      <c r="AT31" s="546">
        <f>'приложение 1.1 '!AA33</f>
        <v>0</v>
      </c>
      <c r="AU31" s="545">
        <f>SUM(AP31:AT31)</f>
        <v>0.7575599999999999</v>
      </c>
    </row>
    <row r="32" spans="1:47" ht="31.5">
      <c r="A32" s="359" t="str">
        <f>'приложение 1.1 '!A34</f>
        <v>1.3.2.</v>
      </c>
      <c r="B32" s="503" t="str">
        <f>'приложение 1.1 '!B34</f>
        <v>Монтаж системы АИИС КУЭ на ПС №121 -35/6кВ</v>
      </c>
      <c r="C32" s="519" t="str">
        <f>IF('приложение 1.1 '!G34=2016,'приложение 1.1 '!E34,"0,00")</f>
        <v>0,00</v>
      </c>
      <c r="D32" s="519" t="str">
        <f>IF('приложение 1.1 '!G34=2016,'приложение 1.1 '!D34,"0,00")</f>
        <v>0,00</v>
      </c>
      <c r="E32" s="519" t="str">
        <f>IF('приложение 1.1 '!G34=2017,'приложение 1.1 '!E34,"0,00")</f>
        <v>0,00</v>
      </c>
      <c r="F32" s="519" t="str">
        <f>IF('приложение 1.1 '!G34=2017,'приложение 1.1 '!D34,"0,00")</f>
        <v>0,00</v>
      </c>
      <c r="G32" s="519" t="str">
        <f>IF('приложение 1.1 '!G34=2018,'приложение 1.1 '!E34,"0,00")</f>
        <v>0,00</v>
      </c>
      <c r="H32" s="519" t="str">
        <f>IF('приложение 1.1 '!G34=2018,'приложение 1.1 '!D34,"0,00")</f>
        <v>0,00</v>
      </c>
      <c r="I32" s="519">
        <f>IF('приложение 1.1 '!G34=2019,'приложение 1.1 '!E34,"0,00")</f>
        <v>0</v>
      </c>
      <c r="J32" s="519">
        <f>IF('приложение 1.1 '!G34=2019,'приложение 1.1 '!D34,"0,00")</f>
        <v>0</v>
      </c>
      <c r="K32" s="519" t="str">
        <f>IF('приложение 1.1 '!G34=2020,'приложение 1.1 '!E34,"0,00")</f>
        <v>0,00</v>
      </c>
      <c r="L32" s="519" t="str">
        <f>IF('приложение 1.1 '!G34=2020,'приложение 1.1 '!D34,"0,00")</f>
        <v>0,00</v>
      </c>
      <c r="M32" s="519">
        <f t="shared" si="22"/>
        <v>0</v>
      </c>
      <c r="N32" s="519">
        <f t="shared" si="22"/>
        <v>0</v>
      </c>
      <c r="O32" s="519">
        <v>0</v>
      </c>
      <c r="P32" s="519" t="str">
        <f t="shared" si="23"/>
        <v>0,00</v>
      </c>
      <c r="Q32" s="519">
        <v>0</v>
      </c>
      <c r="R32" s="519" t="str">
        <f t="shared" si="24"/>
        <v>0,00</v>
      </c>
      <c r="S32" s="519">
        <v>0</v>
      </c>
      <c r="T32" s="519" t="str">
        <f t="shared" si="25"/>
        <v>0,00</v>
      </c>
      <c r="U32" s="519">
        <v>0</v>
      </c>
      <c r="V32" s="519">
        <f t="shared" si="26"/>
        <v>0</v>
      </c>
      <c r="W32" s="519">
        <v>0</v>
      </c>
      <c r="X32" s="519" t="str">
        <f t="shared" si="27"/>
        <v>0,00</v>
      </c>
      <c r="Y32" s="519">
        <f t="shared" si="28"/>
        <v>0</v>
      </c>
      <c r="Z32" s="522">
        <f t="shared" si="28"/>
        <v>0</v>
      </c>
      <c r="AA32" s="522">
        <f>AU32/1.18</f>
        <v>0.6419999999999999</v>
      </c>
      <c r="AB32" s="547"/>
      <c r="AC32" s="547"/>
      <c r="AD32" s="547"/>
      <c r="AE32" s="547"/>
      <c r="AF32" s="547"/>
      <c r="AG32" s="547"/>
      <c r="AH32" s="547"/>
      <c r="AI32" s="547"/>
      <c r="AJ32" s="546">
        <f t="shared" si="29"/>
        <v>0</v>
      </c>
      <c r="AK32" s="546">
        <f t="shared" si="29"/>
        <v>0</v>
      </c>
      <c r="AL32" s="546"/>
      <c r="AM32" s="546"/>
      <c r="AN32" s="546"/>
      <c r="AO32" s="546"/>
      <c r="AP32" s="546">
        <f>'приложение 1.1 '!X34</f>
        <v>0</v>
      </c>
      <c r="AQ32" s="546">
        <f>'приложение 1.1 '!W34</f>
        <v>0</v>
      </c>
      <c r="AR32" s="546">
        <f>'приложение 1.1 '!Y34</f>
        <v>0</v>
      </c>
      <c r="AS32" s="546">
        <f>'приложение 1.1 '!Z34</f>
        <v>0.7575599999999999</v>
      </c>
      <c r="AT32" s="546">
        <f>'приложение 1.1 '!AA34</f>
        <v>0</v>
      </c>
      <c r="AU32" s="545">
        <f t="shared" ref="AU32" si="30">SUM(AP32:AT32)</f>
        <v>0.7575599999999999</v>
      </c>
    </row>
    <row r="33" spans="1:47">
      <c r="A33" s="652"/>
      <c r="B33" s="180" t="s">
        <v>220</v>
      </c>
      <c r="C33" s="520">
        <f t="shared" ref="C33:AU33" si="31">SUM(C31:C32)</f>
        <v>0</v>
      </c>
      <c r="D33" s="520">
        <f t="shared" si="31"/>
        <v>0</v>
      </c>
      <c r="E33" s="520">
        <f t="shared" si="31"/>
        <v>0</v>
      </c>
      <c r="F33" s="520">
        <f t="shared" si="31"/>
        <v>0</v>
      </c>
      <c r="G33" s="520">
        <f t="shared" si="31"/>
        <v>0</v>
      </c>
      <c r="H33" s="520">
        <f t="shared" si="31"/>
        <v>0</v>
      </c>
      <c r="I33" s="520">
        <f t="shared" si="31"/>
        <v>0</v>
      </c>
      <c r="J33" s="520">
        <f t="shared" si="31"/>
        <v>0</v>
      </c>
      <c r="K33" s="520">
        <f t="shared" si="31"/>
        <v>0</v>
      </c>
      <c r="L33" s="520">
        <f t="shared" si="31"/>
        <v>0</v>
      </c>
      <c r="M33" s="520">
        <f t="shared" si="31"/>
        <v>0</v>
      </c>
      <c r="N33" s="520">
        <f t="shared" si="31"/>
        <v>0</v>
      </c>
      <c r="O33" s="520">
        <f t="shared" si="31"/>
        <v>0</v>
      </c>
      <c r="P33" s="520">
        <f t="shared" si="31"/>
        <v>0</v>
      </c>
      <c r="Q33" s="520">
        <f t="shared" si="31"/>
        <v>0</v>
      </c>
      <c r="R33" s="520">
        <f t="shared" si="31"/>
        <v>0</v>
      </c>
      <c r="S33" s="520">
        <f t="shared" si="31"/>
        <v>0</v>
      </c>
      <c r="T33" s="520">
        <f t="shared" si="31"/>
        <v>0</v>
      </c>
      <c r="U33" s="520">
        <f t="shared" si="31"/>
        <v>0</v>
      </c>
      <c r="V33" s="520">
        <f t="shared" si="31"/>
        <v>0</v>
      </c>
      <c r="W33" s="520">
        <f t="shared" si="31"/>
        <v>0</v>
      </c>
      <c r="X33" s="520">
        <f t="shared" si="31"/>
        <v>0</v>
      </c>
      <c r="Y33" s="520">
        <f t="shared" si="31"/>
        <v>0</v>
      </c>
      <c r="Z33" s="520">
        <f t="shared" si="31"/>
        <v>0</v>
      </c>
      <c r="AA33" s="520">
        <f t="shared" si="31"/>
        <v>1.2839999999999998</v>
      </c>
      <c r="AB33" s="541">
        <f t="shared" si="31"/>
        <v>0</v>
      </c>
      <c r="AC33" s="541">
        <f t="shared" si="31"/>
        <v>0</v>
      </c>
      <c r="AD33" s="541">
        <f t="shared" si="31"/>
        <v>0</v>
      </c>
      <c r="AE33" s="541">
        <f t="shared" si="31"/>
        <v>0</v>
      </c>
      <c r="AF33" s="541">
        <f t="shared" si="31"/>
        <v>0</v>
      </c>
      <c r="AG33" s="541">
        <f t="shared" si="31"/>
        <v>0</v>
      </c>
      <c r="AH33" s="541">
        <f t="shared" si="31"/>
        <v>0</v>
      </c>
      <c r="AI33" s="541">
        <f t="shared" si="31"/>
        <v>0</v>
      </c>
      <c r="AJ33" s="541">
        <f t="shared" si="31"/>
        <v>0</v>
      </c>
      <c r="AK33" s="541">
        <f t="shared" si="31"/>
        <v>0</v>
      </c>
      <c r="AL33" s="541">
        <f t="shared" si="31"/>
        <v>0</v>
      </c>
      <c r="AM33" s="541">
        <f t="shared" si="31"/>
        <v>0</v>
      </c>
      <c r="AN33" s="541">
        <f t="shared" si="31"/>
        <v>0</v>
      </c>
      <c r="AO33" s="541">
        <f t="shared" si="31"/>
        <v>0</v>
      </c>
      <c r="AP33" s="541">
        <f t="shared" si="31"/>
        <v>0</v>
      </c>
      <c r="AQ33" s="541">
        <f t="shared" si="31"/>
        <v>0</v>
      </c>
      <c r="AR33" s="541">
        <f t="shared" si="31"/>
        <v>0.7575599999999999</v>
      </c>
      <c r="AS33" s="541">
        <f t="shared" si="31"/>
        <v>0.7575599999999999</v>
      </c>
      <c r="AT33" s="541">
        <f t="shared" si="31"/>
        <v>0</v>
      </c>
      <c r="AU33" s="541">
        <f t="shared" si="31"/>
        <v>1.5151199999999998</v>
      </c>
    </row>
    <row r="34" spans="1:47" hidden="1" outlineLevel="1">
      <c r="A34" s="405">
        <v>2</v>
      </c>
      <c r="B34" s="181" t="s">
        <v>89</v>
      </c>
      <c r="C34" s="528">
        <f>C37</f>
        <v>0</v>
      </c>
      <c r="D34" s="528">
        <f t="shared" ref="D34:X34" si="32">D37</f>
        <v>0</v>
      </c>
      <c r="E34" s="528">
        <f t="shared" si="32"/>
        <v>0</v>
      </c>
      <c r="F34" s="528">
        <f t="shared" si="32"/>
        <v>0</v>
      </c>
      <c r="G34" s="528"/>
      <c r="H34" s="528"/>
      <c r="I34" s="528"/>
      <c r="J34" s="528"/>
      <c r="K34" s="528">
        <f t="shared" si="32"/>
        <v>0</v>
      </c>
      <c r="L34" s="528">
        <f t="shared" si="32"/>
        <v>0</v>
      </c>
      <c r="M34" s="528">
        <f t="shared" si="32"/>
        <v>0</v>
      </c>
      <c r="N34" s="528">
        <f t="shared" si="32"/>
        <v>0</v>
      </c>
      <c r="O34" s="528">
        <f t="shared" si="32"/>
        <v>0</v>
      </c>
      <c r="P34" s="528">
        <f t="shared" si="32"/>
        <v>0</v>
      </c>
      <c r="Q34" s="528">
        <f t="shared" si="32"/>
        <v>0</v>
      </c>
      <c r="R34" s="528">
        <f t="shared" si="32"/>
        <v>0</v>
      </c>
      <c r="S34" s="528"/>
      <c r="T34" s="528"/>
      <c r="U34" s="528"/>
      <c r="V34" s="528"/>
      <c r="W34" s="528">
        <f t="shared" si="32"/>
        <v>0</v>
      </c>
      <c r="X34" s="528">
        <f t="shared" si="32"/>
        <v>0</v>
      </c>
      <c r="Y34" s="528">
        <f>Y37</f>
        <v>0</v>
      </c>
      <c r="Z34" s="524">
        <f>Z37</f>
        <v>0</v>
      </c>
      <c r="AA34" s="524">
        <f>AA37</f>
        <v>0</v>
      </c>
      <c r="AB34" s="524">
        <f t="shared" ref="AB34:AI34" si="33">AB37</f>
        <v>0</v>
      </c>
      <c r="AC34" s="524">
        <f t="shared" si="33"/>
        <v>0</v>
      </c>
      <c r="AD34" s="524">
        <f t="shared" si="33"/>
        <v>0</v>
      </c>
      <c r="AE34" s="524">
        <f t="shared" si="33"/>
        <v>0</v>
      </c>
      <c r="AF34" s="524">
        <f t="shared" si="33"/>
        <v>0</v>
      </c>
      <c r="AG34" s="524">
        <f t="shared" si="33"/>
        <v>0</v>
      </c>
      <c r="AH34" s="524">
        <f t="shared" si="33"/>
        <v>0</v>
      </c>
      <c r="AI34" s="524">
        <f t="shared" si="33"/>
        <v>0</v>
      </c>
      <c r="AJ34" s="528">
        <f t="shared" ref="AJ34:AU34" si="34">AJ37</f>
        <v>0</v>
      </c>
      <c r="AK34" s="528">
        <f t="shared" si="34"/>
        <v>0</v>
      </c>
      <c r="AL34" s="528">
        <f t="shared" si="34"/>
        <v>0</v>
      </c>
      <c r="AM34" s="528">
        <f t="shared" si="34"/>
        <v>0</v>
      </c>
      <c r="AN34" s="528">
        <f>AN37</f>
        <v>0</v>
      </c>
      <c r="AO34" s="528">
        <f t="shared" si="34"/>
        <v>0</v>
      </c>
      <c r="AP34" s="528">
        <f t="shared" si="34"/>
        <v>0</v>
      </c>
      <c r="AQ34" s="528"/>
      <c r="AR34" s="528"/>
      <c r="AS34" s="528">
        <f t="shared" si="34"/>
        <v>0</v>
      </c>
      <c r="AT34" s="528">
        <f t="shared" si="34"/>
        <v>0</v>
      </c>
      <c r="AU34" s="528">
        <f t="shared" si="34"/>
        <v>0</v>
      </c>
    </row>
    <row r="35" spans="1:47" ht="31.5" hidden="1" outlineLevel="1">
      <c r="A35" s="405" t="s">
        <v>256</v>
      </c>
      <c r="B35" s="180" t="s">
        <v>160</v>
      </c>
      <c r="C35" s="518"/>
      <c r="D35" s="526"/>
      <c r="E35" s="518"/>
      <c r="F35" s="518"/>
      <c r="G35" s="518"/>
      <c r="H35" s="518"/>
      <c r="I35" s="518"/>
      <c r="J35" s="518"/>
      <c r="K35" s="518"/>
      <c r="L35" s="518"/>
      <c r="M35" s="518"/>
      <c r="N35" s="518"/>
      <c r="O35" s="518"/>
      <c r="P35" s="526"/>
      <c r="Q35" s="518"/>
      <c r="R35" s="518"/>
      <c r="S35" s="518"/>
      <c r="T35" s="518"/>
      <c r="U35" s="518"/>
      <c r="V35" s="518"/>
      <c r="W35" s="518"/>
      <c r="X35" s="518"/>
      <c r="Y35" s="530"/>
      <c r="Z35" s="531"/>
      <c r="AA35" s="531"/>
      <c r="AB35" s="530"/>
      <c r="AC35" s="530"/>
      <c r="AD35" s="530"/>
      <c r="AE35" s="530"/>
      <c r="AF35" s="530"/>
      <c r="AG35" s="530"/>
      <c r="AH35" s="530"/>
      <c r="AI35" s="530"/>
      <c r="AJ35" s="530"/>
      <c r="AK35" s="530"/>
      <c r="AL35" s="530"/>
      <c r="AM35" s="530"/>
      <c r="AN35" s="530"/>
      <c r="AO35" s="530"/>
      <c r="AP35" s="530"/>
      <c r="AQ35" s="530"/>
      <c r="AR35" s="530"/>
      <c r="AS35" s="530"/>
      <c r="AT35" s="530"/>
      <c r="AU35" s="530"/>
    </row>
    <row r="36" spans="1:47" hidden="1" outlineLevel="1">
      <c r="A36" s="405" t="s">
        <v>483</v>
      </c>
      <c r="B36" s="180" t="str">
        <f>'приложение 1.1 '!B38</f>
        <v>Подстанции 35/ 6/10кВ</v>
      </c>
      <c r="C36" s="519"/>
      <c r="D36" s="519"/>
      <c r="E36" s="519"/>
      <c r="F36" s="519"/>
      <c r="G36" s="519"/>
      <c r="H36" s="519"/>
      <c r="I36" s="519"/>
      <c r="J36" s="519"/>
      <c r="K36" s="519"/>
      <c r="L36" s="519"/>
      <c r="M36" s="519"/>
      <c r="N36" s="519"/>
      <c r="O36" s="518"/>
      <c r="P36" s="518"/>
      <c r="Q36" s="518"/>
      <c r="R36" s="518"/>
      <c r="S36" s="518"/>
      <c r="T36" s="518"/>
      <c r="U36" s="518"/>
      <c r="V36" s="518"/>
      <c r="W36" s="518"/>
      <c r="X36" s="518"/>
      <c r="Y36" s="519"/>
      <c r="Z36" s="522"/>
      <c r="AA36" s="522">
        <f>AU36/1.18</f>
        <v>0</v>
      </c>
      <c r="AB36" s="530"/>
      <c r="AC36" s="530"/>
      <c r="AD36" s="530"/>
      <c r="AE36" s="530"/>
      <c r="AF36" s="530"/>
      <c r="AG36" s="530"/>
      <c r="AH36" s="530"/>
      <c r="AI36" s="530"/>
      <c r="AJ36" s="530"/>
      <c r="AK36" s="530"/>
      <c r="AL36" s="530"/>
      <c r="AM36" s="530"/>
      <c r="AN36" s="530"/>
      <c r="AO36" s="530"/>
      <c r="AP36" s="530"/>
      <c r="AQ36" s="530"/>
      <c r="AR36" s="530"/>
      <c r="AS36" s="530"/>
      <c r="AT36" s="530"/>
      <c r="AU36" s="529"/>
    </row>
    <row r="37" spans="1:47" hidden="1" outlineLevel="1">
      <c r="A37" s="404"/>
      <c r="B37" s="180" t="s">
        <v>294</v>
      </c>
      <c r="C37" s="520">
        <f>SUM(C36:C36)</f>
        <v>0</v>
      </c>
      <c r="D37" s="520">
        <f t="shared" ref="D37:AA37" si="35">SUM(D36:D36)</f>
        <v>0</v>
      </c>
      <c r="E37" s="520">
        <f t="shared" si="35"/>
        <v>0</v>
      </c>
      <c r="F37" s="520">
        <f t="shared" si="35"/>
        <v>0</v>
      </c>
      <c r="G37" s="520"/>
      <c r="H37" s="520"/>
      <c r="I37" s="520"/>
      <c r="J37" s="520"/>
      <c r="K37" s="520">
        <f t="shared" si="35"/>
        <v>0</v>
      </c>
      <c r="L37" s="520">
        <f t="shared" si="35"/>
        <v>0</v>
      </c>
      <c r="M37" s="520">
        <f t="shared" si="35"/>
        <v>0</v>
      </c>
      <c r="N37" s="520">
        <f t="shared" si="35"/>
        <v>0</v>
      </c>
      <c r="O37" s="520">
        <f t="shared" si="35"/>
        <v>0</v>
      </c>
      <c r="P37" s="520">
        <f t="shared" si="35"/>
        <v>0</v>
      </c>
      <c r="Q37" s="520">
        <f t="shared" si="35"/>
        <v>0</v>
      </c>
      <c r="R37" s="520">
        <f t="shared" si="35"/>
        <v>0</v>
      </c>
      <c r="S37" s="520"/>
      <c r="T37" s="520"/>
      <c r="U37" s="520"/>
      <c r="V37" s="520"/>
      <c r="W37" s="520">
        <f t="shared" si="35"/>
        <v>0</v>
      </c>
      <c r="X37" s="520">
        <f t="shared" si="35"/>
        <v>0</v>
      </c>
      <c r="Y37" s="520">
        <f t="shared" si="35"/>
        <v>0</v>
      </c>
      <c r="Z37" s="520">
        <f t="shared" si="35"/>
        <v>0</v>
      </c>
      <c r="AA37" s="520">
        <f t="shared" si="35"/>
        <v>0</v>
      </c>
      <c r="AB37" s="520">
        <f t="shared" ref="AB37" si="36">SUM(AB36:AB36)</f>
        <v>0</v>
      </c>
      <c r="AC37" s="520">
        <f t="shared" ref="AC37" si="37">SUM(AC36:AC36)</f>
        <v>0</v>
      </c>
      <c r="AD37" s="520">
        <f t="shared" ref="AD37" si="38">SUM(AD36:AD36)</f>
        <v>0</v>
      </c>
      <c r="AE37" s="520">
        <f t="shared" ref="AE37" si="39">SUM(AE36:AE36)</f>
        <v>0</v>
      </c>
      <c r="AF37" s="520">
        <f t="shared" ref="AF37" si="40">SUM(AF36:AF36)</f>
        <v>0</v>
      </c>
      <c r="AG37" s="520">
        <f t="shared" ref="AG37" si="41">SUM(AG36:AG36)</f>
        <v>0</v>
      </c>
      <c r="AH37" s="520">
        <f t="shared" ref="AH37" si="42">SUM(AH36:AH36)</f>
        <v>0</v>
      </c>
      <c r="AI37" s="520">
        <f t="shared" ref="AI37" si="43">SUM(AI36:AI36)</f>
        <v>0</v>
      </c>
      <c r="AJ37" s="520">
        <f t="shared" ref="AJ37" si="44">SUM(AJ36:AJ36)</f>
        <v>0</v>
      </c>
      <c r="AK37" s="520">
        <f t="shared" ref="AK37" si="45">SUM(AK36:AK36)</f>
        <v>0</v>
      </c>
      <c r="AL37" s="520">
        <f t="shared" ref="AL37" si="46">SUM(AL36:AL36)</f>
        <v>0</v>
      </c>
      <c r="AM37" s="520">
        <f t="shared" ref="AM37" si="47">SUM(AM36:AM36)</f>
        <v>0</v>
      </c>
      <c r="AN37" s="520">
        <f t="shared" ref="AN37" si="48">SUM(AN36:AN36)</f>
        <v>0</v>
      </c>
      <c r="AO37" s="520">
        <f t="shared" ref="AO37" si="49">SUM(AO36:AO36)</f>
        <v>0</v>
      </c>
      <c r="AP37" s="520">
        <f t="shared" ref="AP37" si="50">SUM(AP36:AP36)</f>
        <v>0</v>
      </c>
      <c r="AQ37" s="520"/>
      <c r="AR37" s="520"/>
      <c r="AS37" s="520">
        <f t="shared" ref="AS37" si="51">SUM(AS36:AS36)</f>
        <v>0</v>
      </c>
      <c r="AT37" s="520">
        <f t="shared" ref="AT37" si="52">SUM(AT36:AT36)</f>
        <v>0</v>
      </c>
      <c r="AU37" s="520">
        <f t="shared" ref="AU37" si="53">SUM(AU36:AU36)</f>
        <v>0</v>
      </c>
    </row>
    <row r="38" spans="1:47" collapsed="1">
      <c r="A38" s="425"/>
      <c r="B38" s="426"/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27"/>
      <c r="O38" s="427"/>
      <c r="P38" s="427"/>
      <c r="Q38" s="427"/>
      <c r="R38" s="427"/>
      <c r="S38" s="427"/>
      <c r="T38" s="427"/>
      <c r="U38" s="427"/>
      <c r="V38" s="427"/>
      <c r="W38" s="427"/>
      <c r="X38" s="427"/>
      <c r="Y38" s="427"/>
      <c r="Z38" s="427"/>
      <c r="AA38" s="427"/>
      <c r="AB38" s="427"/>
      <c r="AC38" s="427"/>
      <c r="AD38" s="427"/>
      <c r="AE38" s="427"/>
      <c r="AF38" s="427"/>
      <c r="AG38" s="427"/>
      <c r="AH38" s="427"/>
      <c r="AI38" s="427"/>
      <c r="AJ38" s="427"/>
      <c r="AK38" s="427"/>
      <c r="AL38" s="427"/>
      <c r="AM38" s="427"/>
      <c r="AN38" s="427"/>
      <c r="AO38" s="427"/>
      <c r="AP38" s="427"/>
      <c r="AQ38" s="427"/>
      <c r="AR38" s="427"/>
      <c r="AS38" s="427"/>
      <c r="AT38" s="427"/>
      <c r="AU38" s="427"/>
    </row>
    <row r="39" spans="1:47">
      <c r="A39" s="425" t="s">
        <v>514</v>
      </c>
      <c r="B39" s="428" t="s">
        <v>511</v>
      </c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  <c r="S39" s="427"/>
      <c r="T39" s="427"/>
      <c r="U39" s="427"/>
      <c r="V39" s="427"/>
      <c r="W39" s="427"/>
      <c r="X39" s="427"/>
      <c r="Y39" s="427"/>
      <c r="Z39" s="427"/>
      <c r="AA39" s="427"/>
      <c r="AB39" s="427"/>
      <c r="AC39" s="427"/>
      <c r="AD39" s="427"/>
      <c r="AE39" s="427"/>
      <c r="AF39" s="427"/>
      <c r="AG39" s="427"/>
      <c r="AH39" s="427"/>
      <c r="AI39" s="427"/>
      <c r="AJ39" s="427"/>
      <c r="AK39" s="427"/>
      <c r="AL39" s="427"/>
      <c r="AM39" s="427"/>
      <c r="AN39" s="427"/>
      <c r="AO39" s="427"/>
      <c r="AP39" s="427"/>
      <c r="AQ39" s="427"/>
      <c r="AR39" s="427"/>
      <c r="AS39" s="427"/>
      <c r="AT39" s="427"/>
      <c r="AU39" s="427"/>
    </row>
    <row r="40" spans="1:47">
      <c r="A40" s="425" t="s">
        <v>515</v>
      </c>
      <c r="B40" s="428" t="s">
        <v>512</v>
      </c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  <c r="S40" s="427"/>
      <c r="T40" s="427"/>
      <c r="U40" s="427"/>
      <c r="V40" s="427"/>
      <c r="W40" s="427"/>
      <c r="X40" s="427"/>
      <c r="Y40" s="427"/>
      <c r="Z40" s="427"/>
      <c r="AA40" s="427"/>
      <c r="AB40" s="427"/>
      <c r="AC40" s="427"/>
      <c r="AD40" s="427"/>
      <c r="AE40" s="427"/>
      <c r="AF40" s="427"/>
      <c r="AG40" s="427"/>
      <c r="AH40" s="427"/>
      <c r="AI40" s="427"/>
      <c r="AJ40" s="427"/>
      <c r="AK40" s="427"/>
      <c r="AL40" s="427"/>
      <c r="AM40" s="427"/>
      <c r="AN40" s="427"/>
      <c r="AO40" s="427"/>
      <c r="AP40" s="427"/>
      <c r="AQ40" s="427"/>
      <c r="AR40" s="427"/>
      <c r="AS40" s="427"/>
      <c r="AT40" s="427"/>
      <c r="AU40" s="427"/>
    </row>
    <row r="41" spans="1:47">
      <c r="A41" s="425" t="s">
        <v>516</v>
      </c>
      <c r="B41" s="428" t="s">
        <v>513</v>
      </c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  <c r="S41" s="427"/>
      <c r="T41" s="427"/>
      <c r="U41" s="427"/>
      <c r="V41" s="427"/>
      <c r="W41" s="427"/>
      <c r="X41" s="427"/>
      <c r="Y41" s="427"/>
      <c r="Z41" s="427"/>
      <c r="AA41" s="427"/>
      <c r="AB41" s="427"/>
      <c r="AC41" s="427"/>
      <c r="AD41" s="427"/>
      <c r="AE41" s="427"/>
      <c r="AF41" s="427"/>
      <c r="AG41" s="427"/>
      <c r="AH41" s="427"/>
      <c r="AI41" s="427"/>
      <c r="AJ41" s="427"/>
      <c r="AK41" s="427"/>
      <c r="AL41" s="427"/>
      <c r="AM41" s="427"/>
      <c r="AN41" s="427"/>
      <c r="AO41" s="427"/>
      <c r="AP41" s="427"/>
      <c r="AQ41" s="427"/>
      <c r="AR41" s="427"/>
      <c r="AS41" s="427"/>
      <c r="AT41" s="427"/>
      <c r="AU41" s="427"/>
    </row>
    <row r="42" spans="1:47">
      <c r="A42" s="425"/>
      <c r="B42" s="426"/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  <c r="S42" s="427"/>
      <c r="T42" s="427"/>
      <c r="U42" s="427"/>
      <c r="V42" s="427"/>
      <c r="W42" s="427"/>
      <c r="X42" s="427"/>
      <c r="Y42" s="427"/>
      <c r="Z42" s="427"/>
      <c r="AA42" s="427"/>
      <c r="AB42" s="427"/>
      <c r="AC42" s="427"/>
      <c r="AD42" s="427"/>
      <c r="AE42" s="427"/>
      <c r="AF42" s="427"/>
      <c r="AG42" s="427"/>
      <c r="AH42" s="427"/>
      <c r="AI42" s="427"/>
      <c r="AJ42" s="427"/>
      <c r="AK42" s="427"/>
      <c r="AL42" s="427"/>
      <c r="AM42" s="427"/>
      <c r="AN42" s="427"/>
      <c r="AO42" s="427"/>
      <c r="AP42" s="427"/>
      <c r="AQ42" s="427"/>
      <c r="AR42" s="427"/>
      <c r="AS42" s="427"/>
      <c r="AT42" s="427"/>
      <c r="AU42" s="427"/>
    </row>
    <row r="43" spans="1:47">
      <c r="A43" s="425"/>
      <c r="B43" s="428" t="s">
        <v>60</v>
      </c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  <c r="S43" s="427"/>
      <c r="T43" s="427"/>
      <c r="U43" s="427"/>
      <c r="V43" s="427"/>
      <c r="W43" s="427"/>
      <c r="X43" s="427"/>
      <c r="Y43" s="427"/>
      <c r="Z43" s="427"/>
      <c r="AA43" s="427"/>
      <c r="AB43" s="427"/>
      <c r="AC43" s="427"/>
      <c r="AD43" s="427"/>
      <c r="AE43" s="427"/>
      <c r="AF43" s="427"/>
      <c r="AG43" s="427"/>
      <c r="AH43" s="427"/>
      <c r="AI43" s="427"/>
      <c r="AJ43" s="427"/>
      <c r="AK43" s="427"/>
      <c r="AL43" s="427"/>
      <c r="AM43" s="427"/>
      <c r="AN43" s="427"/>
      <c r="AO43" s="427"/>
      <c r="AP43" s="427"/>
      <c r="AQ43" s="427"/>
      <c r="AR43" s="427"/>
      <c r="AS43" s="427"/>
      <c r="AT43" s="427"/>
      <c r="AU43" s="427"/>
    </row>
    <row r="44" spans="1:47">
      <c r="B44" s="232"/>
      <c r="C44" s="233"/>
      <c r="D44" s="233"/>
      <c r="E44" s="234"/>
      <c r="F44" s="233"/>
      <c r="G44" s="233"/>
      <c r="H44" s="233"/>
      <c r="I44" s="233"/>
      <c r="J44" s="233"/>
      <c r="K44" s="233"/>
      <c r="L44" s="233"/>
      <c r="M44" s="233"/>
      <c r="N44" s="233"/>
      <c r="O44" s="233"/>
      <c r="P44" s="233"/>
      <c r="Q44" s="233"/>
      <c r="R44" s="233"/>
      <c r="S44" s="233"/>
      <c r="T44" s="233"/>
      <c r="U44" s="233"/>
      <c r="V44" s="233"/>
      <c r="W44" s="233"/>
      <c r="X44" s="233"/>
    </row>
    <row r="45" spans="1:47">
      <c r="B45" s="232"/>
      <c r="C45" s="184"/>
      <c r="D45" s="184"/>
      <c r="E45" s="184"/>
      <c r="F45" s="184"/>
      <c r="G45" s="184"/>
      <c r="H45" s="184"/>
      <c r="I45" s="184"/>
      <c r="J45" s="184"/>
      <c r="K45" s="184"/>
      <c r="L45" s="184"/>
      <c r="M45" s="184"/>
      <c r="N45" s="184"/>
      <c r="O45" s="184"/>
      <c r="P45" s="184"/>
      <c r="Q45" s="184"/>
      <c r="R45" s="184"/>
      <c r="S45" s="184"/>
      <c r="T45" s="184"/>
      <c r="U45" s="184"/>
      <c r="V45" s="184"/>
      <c r="W45" s="184"/>
      <c r="X45" s="184"/>
    </row>
  </sheetData>
  <customSheetViews>
    <customSheetView guid="{8313A758-6764-4FAF-B5C3-0AC63E11C07D}" scale="70" showPageBreaks="1" printArea="1" hiddenRows="1" view="pageBreakPreview" topLeftCell="M1">
      <selection activeCell="AI22" sqref="AI22"/>
      <colBreaks count="1" manualBreakCount="1">
        <brk id="47" max="499" man="1"/>
      </colBreaks>
      <pageMargins left="0.43307086614173229" right="0.39370078740157483" top="0.39370078740157483" bottom="0.59055118110236227" header="0" footer="0"/>
      <printOptions horizontalCentered="1"/>
      <pageSetup paperSize="8" scale="34" fitToHeight="0" orientation="landscape" r:id="rId1"/>
      <headerFooter alignWithMargins="0">
        <oddFooter>&amp;R&amp;P</oddFooter>
      </headerFooter>
    </customSheetView>
    <customSheetView guid="{39750778-B4CA-4A61-A93E-2C57443220F3}" scale="70" showPageBreaks="1" printArea="1" view="pageBreakPreview">
      <selection activeCell="V21" sqref="V21"/>
      <pageMargins left="0.43307086614173229" right="0.39370078740157483" top="0.39370078740157483" bottom="0.59055118110236227" header="0" footer="0"/>
      <printOptions horizontalCentered="1"/>
      <pageSetup paperSize="8" scale="34" fitToHeight="0" orientation="landscape" r:id="rId2"/>
      <headerFooter alignWithMargins="0">
        <oddFooter>&amp;R&amp;P</oddFooter>
      </headerFooter>
    </customSheetView>
  </customSheetViews>
  <mergeCells count="43">
    <mergeCell ref="A4:AU4"/>
    <mergeCell ref="A5:AU5"/>
    <mergeCell ref="AJ15:AK15"/>
    <mergeCell ref="AB16:AC16"/>
    <mergeCell ref="AD16:AE16"/>
    <mergeCell ref="AF16:AG16"/>
    <mergeCell ref="AH16:AI16"/>
    <mergeCell ref="AJ16:AK16"/>
    <mergeCell ref="Y16:Z16"/>
    <mergeCell ref="AB15:AC15"/>
    <mergeCell ref="M15:N15"/>
    <mergeCell ref="C16:D16"/>
    <mergeCell ref="E16:F16"/>
    <mergeCell ref="K16:L16"/>
    <mergeCell ref="A13:A15"/>
    <mergeCell ref="O13:Z13"/>
    <mergeCell ref="B13:B15"/>
    <mergeCell ref="G16:H16"/>
    <mergeCell ref="I16:J16"/>
    <mergeCell ref="S16:T16"/>
    <mergeCell ref="U16:V16"/>
    <mergeCell ref="Q16:R16"/>
    <mergeCell ref="M16:N16"/>
    <mergeCell ref="C13:N13"/>
    <mergeCell ref="C15:D15"/>
    <mergeCell ref="E15:F15"/>
    <mergeCell ref="K15:L15"/>
    <mergeCell ref="G15:H15"/>
    <mergeCell ref="I15:J15"/>
    <mergeCell ref="W16:X16"/>
    <mergeCell ref="O15:P15"/>
    <mergeCell ref="O16:P16"/>
    <mergeCell ref="Y15:Z15"/>
    <mergeCell ref="W15:X15"/>
    <mergeCell ref="Q15:R15"/>
    <mergeCell ref="S15:T15"/>
    <mergeCell ref="AD15:AE15"/>
    <mergeCell ref="AF15:AG15"/>
    <mergeCell ref="AH15:AI15"/>
    <mergeCell ref="AB13:AU13"/>
    <mergeCell ref="U15:V15"/>
    <mergeCell ref="AA13:AA15"/>
    <mergeCell ref="AL14:AP14"/>
  </mergeCells>
  <printOptions horizontalCentered="1"/>
  <pageMargins left="0.43307086614173229" right="0.39370078740157483" top="0.59055118110236227" bottom="0.59055118110236227" header="0" footer="0"/>
  <pageSetup paperSize="8" scale="39" fitToHeight="0" orientation="landscape" r:id="rId3"/>
  <headerFooter alignWithMargins="0">
    <oddFooter>&amp;R&amp;P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23"/>
  <sheetViews>
    <sheetView workbookViewId="0">
      <selection activeCell="I16" sqref="I16"/>
    </sheetView>
  </sheetViews>
  <sheetFormatPr defaultRowHeight="15.75"/>
  <cols>
    <col min="1" max="1" width="1.5" style="431" customWidth="1"/>
    <col min="2" max="2" width="41.375" style="429" customWidth="1"/>
    <col min="3" max="5" width="13.75" style="429" customWidth="1"/>
    <col min="6" max="6" width="16.5" style="429" customWidth="1"/>
    <col min="7" max="7" width="16.375" style="429" customWidth="1"/>
    <col min="8" max="15" width="9" style="429"/>
    <col min="16" max="16384" width="9" style="431"/>
  </cols>
  <sheetData>
    <row r="1" spans="2:7">
      <c r="G1" s="672" t="s">
        <v>497</v>
      </c>
    </row>
    <row r="2" spans="2:7">
      <c r="G2" s="672" t="s">
        <v>433</v>
      </c>
    </row>
    <row r="3" spans="2:7">
      <c r="G3" s="672" t="s">
        <v>496</v>
      </c>
    </row>
    <row r="5" spans="2:7">
      <c r="G5" s="735" t="s">
        <v>296</v>
      </c>
    </row>
    <row r="6" spans="2:7">
      <c r="G6" s="736" t="s">
        <v>615</v>
      </c>
    </row>
    <row r="7" spans="2:7">
      <c r="G7" s="735" t="s">
        <v>614</v>
      </c>
    </row>
    <row r="8" spans="2:7">
      <c r="G8" s="735" t="s">
        <v>656</v>
      </c>
    </row>
    <row r="9" spans="2:7">
      <c r="G9" s="735" t="s">
        <v>173</v>
      </c>
    </row>
    <row r="11" spans="2:7" s="429" customFormat="1" ht="37.5" customHeight="1">
      <c r="B11" s="962" t="s">
        <v>626</v>
      </c>
      <c r="C11" s="962"/>
      <c r="D11" s="962"/>
      <c r="E11" s="962"/>
      <c r="F11" s="962"/>
      <c r="G11" s="962"/>
    </row>
    <row r="12" spans="2:7" s="429" customFormat="1">
      <c r="B12" s="666"/>
    </row>
    <row r="13" spans="2:7" s="429" customFormat="1">
      <c r="B13" s="963" t="s">
        <v>600</v>
      </c>
      <c r="C13" s="965" t="s">
        <v>601</v>
      </c>
      <c r="D13" s="966"/>
      <c r="E13" s="966"/>
      <c r="F13" s="966"/>
      <c r="G13" s="967"/>
    </row>
    <row r="14" spans="2:7" s="429" customFormat="1">
      <c r="B14" s="964"/>
      <c r="C14" s="667">
        <v>2016</v>
      </c>
      <c r="D14" s="667">
        <v>2017</v>
      </c>
      <c r="E14" s="667">
        <v>2018</v>
      </c>
      <c r="F14" s="667">
        <v>2019</v>
      </c>
      <c r="G14" s="668">
        <v>2020</v>
      </c>
    </row>
    <row r="15" spans="2:7" s="429" customFormat="1" ht="50.25">
      <c r="B15" s="669" t="s">
        <v>602</v>
      </c>
      <c r="C15" s="670">
        <v>0.82740000000000002</v>
      </c>
      <c r="D15" s="670">
        <v>0.81499999999999995</v>
      </c>
      <c r="E15" s="670">
        <v>0.80279999999999996</v>
      </c>
      <c r="F15" s="670">
        <v>0.79069999999999996</v>
      </c>
      <c r="G15" s="670">
        <v>0.77890000000000004</v>
      </c>
    </row>
    <row r="16" spans="2:7" s="429" customFormat="1" ht="34.5">
      <c r="B16" s="669" t="s">
        <v>603</v>
      </c>
      <c r="C16" s="670">
        <v>0.89749999999999996</v>
      </c>
      <c r="D16" s="670">
        <v>0.89749999999999996</v>
      </c>
      <c r="E16" s="670">
        <v>0.89749999999999996</v>
      </c>
      <c r="F16" s="670">
        <v>0.89749999999999996</v>
      </c>
      <c r="G16" s="670">
        <v>0.89749999999999996</v>
      </c>
    </row>
    <row r="17" spans="2:7" s="429" customFormat="1" ht="50.25">
      <c r="B17" s="669" t="s">
        <v>604</v>
      </c>
      <c r="C17" s="670">
        <v>1</v>
      </c>
      <c r="D17" s="670">
        <v>1</v>
      </c>
      <c r="E17" s="670">
        <v>1</v>
      </c>
      <c r="F17" s="670">
        <v>1</v>
      </c>
      <c r="G17" s="670">
        <v>1</v>
      </c>
    </row>
    <row r="19" spans="2:7" s="429" customFormat="1">
      <c r="B19" s="671" t="s">
        <v>605</v>
      </c>
    </row>
    <row r="20" spans="2:7" s="429" customFormat="1">
      <c r="B20" s="671" t="s">
        <v>606</v>
      </c>
    </row>
    <row r="21" spans="2:7" s="429" customFormat="1">
      <c r="B21" s="671" t="s">
        <v>607</v>
      </c>
    </row>
    <row r="22" spans="2:7" s="429" customFormat="1">
      <c r="B22" s="671" t="s">
        <v>608</v>
      </c>
    </row>
    <row r="23" spans="2:7" s="429" customFormat="1">
      <c r="B23" s="429" t="s">
        <v>609</v>
      </c>
    </row>
  </sheetData>
  <mergeCells count="3">
    <mergeCell ref="B11:G11"/>
    <mergeCell ref="B13:B14"/>
    <mergeCell ref="C13:G13"/>
  </mergeCells>
  <pageMargins left="0.7" right="0.7" top="0.75" bottom="0.75" header="0.3" footer="0.3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55"/>
  <sheetViews>
    <sheetView showZeros="0" view="pageBreakPreview" topLeftCell="B1" zoomScale="80" zoomScaleNormal="100" zoomScaleSheetLayoutView="80" workbookViewId="0">
      <selection activeCell="D26" sqref="D26"/>
    </sheetView>
  </sheetViews>
  <sheetFormatPr defaultRowHeight="15.75"/>
  <cols>
    <col min="1" max="1" width="9" style="303"/>
    <col min="2" max="2" width="44" style="303" bestFit="1" customWidth="1"/>
    <col min="3" max="8" width="9" style="303"/>
    <col min="9" max="9" width="9.625" style="303" customWidth="1"/>
    <col min="10" max="16384" width="9" style="303"/>
  </cols>
  <sheetData>
    <row r="2" spans="1:8">
      <c r="H2" s="294" t="s">
        <v>578</v>
      </c>
    </row>
    <row r="3" spans="1:8">
      <c r="H3" s="294" t="s">
        <v>433</v>
      </c>
    </row>
    <row r="4" spans="1:8">
      <c r="H4" s="294" t="s">
        <v>576</v>
      </c>
    </row>
    <row r="6" spans="1:8" s="305" customFormat="1" ht="70.5" customHeight="1">
      <c r="A6" s="968" t="s">
        <v>504</v>
      </c>
      <c r="B6" s="968"/>
      <c r="C6" s="968"/>
      <c r="D6" s="968"/>
      <c r="E6" s="968"/>
      <c r="F6" s="968"/>
      <c r="G6" s="968"/>
      <c r="H6" s="968"/>
    </row>
    <row r="7" spans="1:8" s="305" customFormat="1" ht="30" customHeight="1">
      <c r="A7" s="406"/>
      <c r="B7" s="406"/>
      <c r="C7" s="406"/>
      <c r="D7" s="406"/>
      <c r="E7" s="406"/>
      <c r="F7" s="406"/>
      <c r="G7" s="406"/>
      <c r="H7" s="406"/>
    </row>
    <row r="8" spans="1:8">
      <c r="H8" s="733" t="s">
        <v>296</v>
      </c>
    </row>
    <row r="9" spans="1:8">
      <c r="H9" s="734" t="s">
        <v>615</v>
      </c>
    </row>
    <row r="10" spans="1:8">
      <c r="H10" s="733" t="s">
        <v>614</v>
      </c>
    </row>
    <row r="11" spans="1:8">
      <c r="H11" s="733" t="s">
        <v>656</v>
      </c>
    </row>
    <row r="12" spans="1:8">
      <c r="H12" s="733" t="s">
        <v>173</v>
      </c>
    </row>
    <row r="14" spans="1:8" ht="16.5" thickBot="1">
      <c r="A14" s="307"/>
    </row>
    <row r="15" spans="1:8" ht="48" customHeight="1">
      <c r="A15" s="708" t="s">
        <v>266</v>
      </c>
      <c r="B15" s="715" t="s">
        <v>267</v>
      </c>
      <c r="C15" s="716">
        <v>2016</v>
      </c>
      <c r="D15" s="716">
        <v>2017</v>
      </c>
      <c r="E15" s="716">
        <v>2018</v>
      </c>
      <c r="F15" s="716">
        <v>2019</v>
      </c>
      <c r="G15" s="716">
        <v>2020</v>
      </c>
      <c r="H15" s="717" t="s">
        <v>82</v>
      </c>
    </row>
    <row r="16" spans="1:8" ht="17.25" customHeight="1">
      <c r="A16" s="708">
        <v>1</v>
      </c>
      <c r="B16" s="718">
        <v>2</v>
      </c>
      <c r="C16" s="673">
        <v>3</v>
      </c>
      <c r="D16" s="673">
        <v>4</v>
      </c>
      <c r="E16" s="673">
        <v>5</v>
      </c>
      <c r="F16" s="673">
        <v>6</v>
      </c>
      <c r="G16" s="673">
        <v>7</v>
      </c>
      <c r="H16" s="719">
        <v>8</v>
      </c>
    </row>
    <row r="17" spans="1:10">
      <c r="A17" s="709">
        <v>1</v>
      </c>
      <c r="B17" s="720" t="s">
        <v>275</v>
      </c>
      <c r="C17" s="609">
        <f>'приложение 4.2 '!C15</f>
        <v>1.3853199999999999</v>
      </c>
      <c r="D17" s="609">
        <f>'приложение 4.2 '!D15</f>
        <v>2.0142600000000002</v>
      </c>
      <c r="E17" s="609">
        <f>'приложение 4.2 '!E15</f>
        <v>8.8040035999999997</v>
      </c>
      <c r="F17" s="609">
        <f>'приложение 4.2 '!F15</f>
        <v>14.2376086</v>
      </c>
      <c r="G17" s="609">
        <f>'приложение 4.2 '!G15</f>
        <v>3.0090000000000003</v>
      </c>
      <c r="H17" s="721">
        <f>'приложение 4.2 '!H15</f>
        <v>29.450192199999996</v>
      </c>
    </row>
    <row r="18" spans="1:10">
      <c r="A18" s="710" t="s">
        <v>253</v>
      </c>
      <c r="B18" s="722" t="s">
        <v>276</v>
      </c>
      <c r="C18" s="609">
        <f>'приложение 4.2 '!C16</f>
        <v>1.3853199999999999</v>
      </c>
      <c r="D18" s="609">
        <f>'приложение 4.2 '!D16</f>
        <v>2.0142600000000002</v>
      </c>
      <c r="E18" s="609">
        <f>'приложение 4.2 '!E16</f>
        <v>3.0680000000000001</v>
      </c>
      <c r="F18" s="609">
        <f>'приложение 4.2 '!F16</f>
        <v>3.5789399999999998</v>
      </c>
      <c r="G18" s="609">
        <f>'приложение 4.2 '!G16</f>
        <v>0</v>
      </c>
      <c r="H18" s="721">
        <f>'приложение 4.2 '!H16</f>
        <v>10.046519999999999</v>
      </c>
    </row>
    <row r="19" spans="1:10">
      <c r="A19" s="710" t="s">
        <v>277</v>
      </c>
      <c r="B19" s="722" t="s">
        <v>87</v>
      </c>
      <c r="C19" s="609">
        <f>'приложение 4.2 '!C17</f>
        <v>1.3853199999999999</v>
      </c>
      <c r="D19" s="609">
        <f>'приложение 4.2 '!D17</f>
        <v>2.0142600000000002</v>
      </c>
      <c r="E19" s="609">
        <f>'приложение 4.2 '!E17</f>
        <v>3.0680000000000001</v>
      </c>
      <c r="F19" s="609">
        <f>'приложение 4.2 '!F17</f>
        <v>3.5789399999999998</v>
      </c>
      <c r="G19" s="609">
        <f>'приложение 4.2 '!G17</f>
        <v>0</v>
      </c>
      <c r="H19" s="721">
        <f>'приложение 4.2 '!H17</f>
        <v>10.046519999999999</v>
      </c>
    </row>
    <row r="20" spans="1:10">
      <c r="A20" s="710" t="s">
        <v>80</v>
      </c>
      <c r="B20" s="722" t="s">
        <v>88</v>
      </c>
      <c r="C20" s="609">
        <f>'приложение 4.2 '!C18</f>
        <v>0</v>
      </c>
      <c r="D20" s="609">
        <f>'приложение 4.2 '!D18</f>
        <v>0</v>
      </c>
      <c r="E20" s="609">
        <f>'приложение 4.2 '!E18</f>
        <v>0</v>
      </c>
      <c r="F20" s="609">
        <f>'приложение 4.2 '!F18</f>
        <v>0</v>
      </c>
      <c r="G20" s="609">
        <f>'приложение 4.2 '!G18</f>
        <v>0</v>
      </c>
      <c r="H20" s="721">
        <f>'приложение 4.2 '!H18</f>
        <v>0</v>
      </c>
    </row>
    <row r="21" spans="1:10" ht="31.5">
      <c r="A21" s="710" t="s">
        <v>84</v>
      </c>
      <c r="B21" s="722" t="s">
        <v>51</v>
      </c>
      <c r="C21" s="609">
        <f>'приложение 4.2 '!C19</f>
        <v>0</v>
      </c>
      <c r="D21" s="609">
        <f>'приложение 4.2 '!D19</f>
        <v>0</v>
      </c>
      <c r="E21" s="609">
        <f>'приложение 4.2 '!E19</f>
        <v>0</v>
      </c>
      <c r="F21" s="609">
        <f>'приложение 4.2 '!F19</f>
        <v>0</v>
      </c>
      <c r="G21" s="609">
        <f>'приложение 4.2 '!G19</f>
        <v>0</v>
      </c>
      <c r="H21" s="721">
        <f>'приложение 4.2 '!H19</f>
        <v>0</v>
      </c>
    </row>
    <row r="22" spans="1:10" ht="31.5">
      <c r="A22" s="710" t="s">
        <v>85</v>
      </c>
      <c r="B22" s="722" t="s">
        <v>52</v>
      </c>
      <c r="C22" s="609">
        <f>'приложение 4.2 '!C20</f>
        <v>0</v>
      </c>
      <c r="D22" s="609">
        <f>'приложение 4.2 '!D20</f>
        <v>0</v>
      </c>
      <c r="E22" s="609">
        <f>'приложение 4.2 '!E20</f>
        <v>0</v>
      </c>
      <c r="F22" s="609">
        <f>'приложение 4.2 '!F20</f>
        <v>0</v>
      </c>
      <c r="G22" s="609">
        <f>'приложение 4.2 '!G20</f>
        <v>0</v>
      </c>
      <c r="H22" s="721">
        <f>'приложение 4.2 '!H20</f>
        <v>0</v>
      </c>
    </row>
    <row r="23" spans="1:10" ht="31.5">
      <c r="A23" s="710" t="s">
        <v>86</v>
      </c>
      <c r="B23" s="722" t="s">
        <v>465</v>
      </c>
      <c r="C23" s="609">
        <f>'приложение 4.2 '!C21</f>
        <v>0</v>
      </c>
      <c r="D23" s="609">
        <f>'приложение 4.2 '!D21</f>
        <v>0</v>
      </c>
      <c r="E23" s="609">
        <f>'приложение 4.2 '!E21</f>
        <v>0</v>
      </c>
      <c r="F23" s="609">
        <f>'приложение 4.2 '!F21</f>
        <v>0</v>
      </c>
      <c r="G23" s="609">
        <f>'приложение 4.2 '!G21</f>
        <v>0</v>
      </c>
      <c r="H23" s="721">
        <f>'приложение 4.2 '!H21</f>
        <v>0</v>
      </c>
    </row>
    <row r="24" spans="1:10">
      <c r="A24" s="710" t="s">
        <v>331</v>
      </c>
      <c r="B24" s="722" t="s">
        <v>184</v>
      </c>
      <c r="C24" s="609">
        <f>'приложение 4.2 '!C22</f>
        <v>0</v>
      </c>
      <c r="D24" s="609">
        <f>'приложение 4.2 '!D22</f>
        <v>0</v>
      </c>
      <c r="E24" s="609">
        <f>'приложение 4.2 '!E22</f>
        <v>0</v>
      </c>
      <c r="F24" s="609">
        <f>'приложение 4.2 '!F22</f>
        <v>0</v>
      </c>
      <c r="G24" s="609">
        <f>'приложение 4.2 '!G22</f>
        <v>0</v>
      </c>
      <c r="H24" s="721">
        <f>'приложение 4.2 '!H22</f>
        <v>0</v>
      </c>
    </row>
    <row r="25" spans="1:10">
      <c r="A25" s="710" t="s">
        <v>254</v>
      </c>
      <c r="B25" s="722" t="s">
        <v>278</v>
      </c>
      <c r="C25" s="609">
        <f>'приложение 4.2 '!C23</f>
        <v>0</v>
      </c>
      <c r="D25" s="609">
        <f>'приложение 4.2 '!D23</f>
        <v>0</v>
      </c>
      <c r="E25" s="609">
        <f>'приложение 4.2 '!E23</f>
        <v>5.7360035999999992</v>
      </c>
      <c r="F25" s="609">
        <f>'приложение 4.2 '!F23</f>
        <v>10.6586686</v>
      </c>
      <c r="G25" s="609">
        <f>'приложение 4.2 '!G23</f>
        <v>3.0090000000000003</v>
      </c>
      <c r="H25" s="721">
        <f>'приложение 4.2 '!H23</f>
        <v>19.403672199999999</v>
      </c>
    </row>
    <row r="26" spans="1:10">
      <c r="A26" s="710" t="s">
        <v>185</v>
      </c>
      <c r="B26" s="722" t="s">
        <v>188</v>
      </c>
      <c r="C26" s="609">
        <f>'приложение 4.2 '!C24</f>
        <v>0</v>
      </c>
      <c r="D26" s="609">
        <f>'приложение 4.2 '!D24</f>
        <v>0</v>
      </c>
      <c r="E26" s="609">
        <f>'приложение 4.2 '!E24</f>
        <v>5.7360035999999992</v>
      </c>
      <c r="F26" s="609">
        <f>'приложение 4.2 '!F24</f>
        <v>10.6586686</v>
      </c>
      <c r="G26" s="609">
        <f>'приложение 4.2 '!G24</f>
        <v>3.0090000000000003</v>
      </c>
      <c r="H26" s="721">
        <f>'приложение 4.2 '!H24</f>
        <v>19.403672199999999</v>
      </c>
      <c r="J26" s="309"/>
    </row>
    <row r="27" spans="1:10">
      <c r="A27" s="710" t="s">
        <v>186</v>
      </c>
      <c r="B27" s="722" t="s">
        <v>189</v>
      </c>
      <c r="C27" s="609">
        <f>'приложение 4.2 '!C25</f>
        <v>0</v>
      </c>
      <c r="D27" s="609">
        <f>'приложение 4.2 '!D25</f>
        <v>0</v>
      </c>
      <c r="E27" s="609">
        <f>'приложение 4.2 '!E25</f>
        <v>0</v>
      </c>
      <c r="F27" s="609">
        <f>'приложение 4.2 '!F25</f>
        <v>0</v>
      </c>
      <c r="G27" s="609">
        <f>'приложение 4.2 '!G25</f>
        <v>0</v>
      </c>
      <c r="H27" s="721">
        <f>'приложение 4.2 '!H25</f>
        <v>0</v>
      </c>
    </row>
    <row r="28" spans="1:10">
      <c r="A28" s="710" t="s">
        <v>187</v>
      </c>
      <c r="B28" s="722" t="s">
        <v>190</v>
      </c>
      <c r="C28" s="609">
        <f>'приложение 4.2 '!C26</f>
        <v>0</v>
      </c>
      <c r="D28" s="609">
        <f>'приложение 4.2 '!D26</f>
        <v>0</v>
      </c>
      <c r="E28" s="609">
        <f>'приложение 4.2 '!E26</f>
        <v>0</v>
      </c>
      <c r="F28" s="609">
        <f>'приложение 4.2 '!F26</f>
        <v>0</v>
      </c>
      <c r="G28" s="609">
        <f>'приложение 4.2 '!G26</f>
        <v>0</v>
      </c>
      <c r="H28" s="721">
        <f>'приложение 4.2 '!H26</f>
        <v>0</v>
      </c>
    </row>
    <row r="29" spans="1:10">
      <c r="A29" s="710" t="s">
        <v>265</v>
      </c>
      <c r="B29" s="722" t="s">
        <v>279</v>
      </c>
      <c r="C29" s="609">
        <f>'приложение 4.2 '!C27</f>
        <v>0</v>
      </c>
      <c r="D29" s="609">
        <f>'приложение 4.2 '!D27</f>
        <v>0</v>
      </c>
      <c r="E29" s="609">
        <f>'приложение 4.2 '!E27</f>
        <v>0</v>
      </c>
      <c r="F29" s="609">
        <f>'приложение 4.2 '!F27</f>
        <v>0</v>
      </c>
      <c r="G29" s="609">
        <f>'приложение 4.2 '!G27</f>
        <v>0</v>
      </c>
      <c r="H29" s="721">
        <f>'приложение 4.2 '!H27</f>
        <v>0</v>
      </c>
    </row>
    <row r="30" spans="1:10">
      <c r="A30" s="710" t="s">
        <v>280</v>
      </c>
      <c r="B30" s="722" t="s">
        <v>281</v>
      </c>
      <c r="C30" s="609">
        <f>'приложение 4.2 '!C28</f>
        <v>0</v>
      </c>
      <c r="D30" s="609">
        <f>'приложение 4.2 '!D28</f>
        <v>0</v>
      </c>
      <c r="E30" s="609">
        <f>'приложение 4.2 '!E28</f>
        <v>0</v>
      </c>
      <c r="F30" s="609">
        <f>'приложение 4.2 '!F28</f>
        <v>0</v>
      </c>
      <c r="G30" s="609">
        <f>'приложение 4.2 '!G28</f>
        <v>0</v>
      </c>
      <c r="H30" s="721">
        <f>'приложение 4.2 '!H28</f>
        <v>0</v>
      </c>
    </row>
    <row r="31" spans="1:10">
      <c r="A31" s="710" t="s">
        <v>282</v>
      </c>
      <c r="B31" s="722" t="s">
        <v>466</v>
      </c>
      <c r="C31" s="609">
        <f>'приложение 4.2 '!C29</f>
        <v>0</v>
      </c>
      <c r="D31" s="609">
        <f>'приложение 4.2 '!D29</f>
        <v>0</v>
      </c>
      <c r="E31" s="609">
        <f>'приложение 4.2 '!E29</f>
        <v>0</v>
      </c>
      <c r="F31" s="609">
        <f>'приложение 4.2 '!F29</f>
        <v>0</v>
      </c>
      <c r="G31" s="609">
        <f>'приложение 4.2 '!G29</f>
        <v>0</v>
      </c>
      <c r="H31" s="721">
        <f>'приложение 4.2 '!H29</f>
        <v>0</v>
      </c>
    </row>
    <row r="32" spans="1:10">
      <c r="A32" s="710" t="s">
        <v>459</v>
      </c>
      <c r="B32" s="722" t="s">
        <v>330</v>
      </c>
      <c r="C32" s="609">
        <f>'приложение 4.2 '!C30</f>
        <v>0</v>
      </c>
      <c r="D32" s="609">
        <f>'приложение 4.2 '!D30</f>
        <v>0</v>
      </c>
      <c r="E32" s="609">
        <f>'приложение 4.2 '!E30</f>
        <v>0</v>
      </c>
      <c r="F32" s="609">
        <f>'приложение 4.2 '!F30</f>
        <v>0</v>
      </c>
      <c r="G32" s="609">
        <f>'приложение 4.2 '!G30</f>
        <v>0</v>
      </c>
      <c r="H32" s="721">
        <f>'приложение 4.2 '!H30</f>
        <v>0</v>
      </c>
    </row>
    <row r="33" spans="1:9">
      <c r="A33" s="710" t="s">
        <v>255</v>
      </c>
      <c r="B33" s="722" t="s">
        <v>467</v>
      </c>
      <c r="C33" s="609">
        <f>'приложение 4.2 '!C31</f>
        <v>9.9807620000000004</v>
      </c>
      <c r="D33" s="609">
        <f>'приложение 4.2 '!D31</f>
        <v>42.736059999999995</v>
      </c>
      <c r="E33" s="609">
        <f>'приложение 4.2 '!E31</f>
        <v>48.263481030000001</v>
      </c>
      <c r="F33" s="609">
        <f>'приложение 4.2 '!F31</f>
        <v>43.663936034999999</v>
      </c>
      <c r="G33" s="609">
        <f>'приложение 4.2 '!G31</f>
        <v>0</v>
      </c>
      <c r="H33" s="721">
        <f>'приложение 4.2 '!H31</f>
        <v>144.64423906499999</v>
      </c>
      <c r="I33" s="310"/>
    </row>
    <row r="34" spans="1:9">
      <c r="A34" s="710" t="s">
        <v>256</v>
      </c>
      <c r="B34" s="722" t="s">
        <v>355</v>
      </c>
      <c r="C34" s="609">
        <f>'приложение 4.2 '!C32</f>
        <v>0</v>
      </c>
      <c r="D34" s="609">
        <f>'приложение 4.2 '!D32</f>
        <v>42.736059999999995</v>
      </c>
      <c r="E34" s="609">
        <f>'приложение 4.2 '!E32</f>
        <v>48.263481030000001</v>
      </c>
      <c r="F34" s="609">
        <f>'приложение 4.2 '!F32</f>
        <v>43.663936034999999</v>
      </c>
      <c r="G34" s="609">
        <f>'приложение 4.2 '!G32</f>
        <v>0</v>
      </c>
      <c r="H34" s="721">
        <f>'приложение 4.2 '!H32</f>
        <v>134.663477065</v>
      </c>
    </row>
    <row r="35" spans="1:9">
      <c r="A35" s="710" t="s">
        <v>257</v>
      </c>
      <c r="B35" s="722" t="s">
        <v>468</v>
      </c>
      <c r="C35" s="609">
        <f>'приложение 4.2 '!C33</f>
        <v>0</v>
      </c>
      <c r="D35" s="609">
        <f>'приложение 4.2 '!D33</f>
        <v>0</v>
      </c>
      <c r="E35" s="609">
        <f>'приложение 4.2 '!E33</f>
        <v>0</v>
      </c>
      <c r="F35" s="609">
        <f>'приложение 4.2 '!F33</f>
        <v>0</v>
      </c>
      <c r="G35" s="609">
        <f>'приложение 4.2 '!G33</f>
        <v>0</v>
      </c>
      <c r="H35" s="721">
        <f>'приложение 4.2 '!H33</f>
        <v>0</v>
      </c>
    </row>
    <row r="36" spans="1:9">
      <c r="A36" s="711" t="s">
        <v>258</v>
      </c>
      <c r="B36" s="722" t="s">
        <v>354</v>
      </c>
      <c r="C36" s="609">
        <f>'приложение 4.2 '!C34</f>
        <v>0</v>
      </c>
      <c r="D36" s="609">
        <f>'приложение 4.2 '!D34</f>
        <v>0</v>
      </c>
      <c r="E36" s="609">
        <f>'приложение 4.2 '!E34</f>
        <v>0</v>
      </c>
      <c r="F36" s="609">
        <f>'приложение 4.2 '!F34</f>
        <v>0</v>
      </c>
      <c r="G36" s="609">
        <f>'приложение 4.2 '!G34</f>
        <v>0</v>
      </c>
      <c r="H36" s="721">
        <f>'приложение 4.2 '!H34</f>
        <v>0</v>
      </c>
    </row>
    <row r="37" spans="1:9">
      <c r="A37" s="711" t="s">
        <v>259</v>
      </c>
      <c r="B37" s="722" t="s">
        <v>283</v>
      </c>
      <c r="C37" s="609">
        <f>'приложение 4.2 '!C35</f>
        <v>0</v>
      </c>
      <c r="D37" s="609">
        <f>'приложение 4.2 '!D35</f>
        <v>0</v>
      </c>
      <c r="E37" s="609">
        <f>'приложение 4.2 '!E35</f>
        <v>0</v>
      </c>
      <c r="F37" s="609">
        <f>'приложение 4.2 '!F35</f>
        <v>0</v>
      </c>
      <c r="G37" s="609">
        <f>'приложение 4.2 '!G35</f>
        <v>0</v>
      </c>
      <c r="H37" s="721">
        <f>'приложение 4.2 '!H35</f>
        <v>0</v>
      </c>
    </row>
    <row r="38" spans="1:9">
      <c r="A38" s="710" t="s">
        <v>90</v>
      </c>
      <c r="B38" s="722" t="s">
        <v>83</v>
      </c>
      <c r="C38" s="609">
        <f>'приложение 4.2 '!C36</f>
        <v>0</v>
      </c>
      <c r="D38" s="609">
        <f>'приложение 4.2 '!D36</f>
        <v>0</v>
      </c>
      <c r="E38" s="609">
        <f>'приложение 4.2 '!E36</f>
        <v>0</v>
      </c>
      <c r="F38" s="609">
        <f>'приложение 4.2 '!F36</f>
        <v>0</v>
      </c>
      <c r="G38" s="609">
        <f>'приложение 4.2 '!G36</f>
        <v>0</v>
      </c>
      <c r="H38" s="721">
        <f>'приложение 4.2 '!H36</f>
        <v>0</v>
      </c>
    </row>
    <row r="39" spans="1:9">
      <c r="A39" s="710" t="s">
        <v>118</v>
      </c>
      <c r="B39" s="722" t="s">
        <v>328</v>
      </c>
      <c r="C39" s="609">
        <f>'приложение 4.2 '!C37</f>
        <v>0</v>
      </c>
      <c r="D39" s="609">
        <f>'приложение 4.2 '!D37</f>
        <v>0</v>
      </c>
      <c r="E39" s="609">
        <f>'приложение 4.2 '!E37</f>
        <v>0</v>
      </c>
      <c r="F39" s="609">
        <f>'приложение 4.2 '!F37</f>
        <v>0</v>
      </c>
      <c r="G39" s="609">
        <f>'приложение 4.2 '!G37</f>
        <v>0</v>
      </c>
      <c r="H39" s="721">
        <f>'приложение 4.2 '!H37</f>
        <v>0</v>
      </c>
    </row>
    <row r="40" spans="1:9">
      <c r="A40" s="710" t="s">
        <v>191</v>
      </c>
      <c r="B40" s="722" t="s">
        <v>480</v>
      </c>
      <c r="C40" s="609">
        <f>'приложение 4.2 '!C38</f>
        <v>9.9807620000000004</v>
      </c>
      <c r="D40" s="609">
        <f>'приложение 4.2 '!D38</f>
        <v>0</v>
      </c>
      <c r="E40" s="609">
        <f>'приложение 4.2 '!E38</f>
        <v>0</v>
      </c>
      <c r="F40" s="609">
        <f>'приложение 4.2 '!F38</f>
        <v>0</v>
      </c>
      <c r="G40" s="609">
        <f>'приложение 4.2 '!G38</f>
        <v>0</v>
      </c>
      <c r="H40" s="721">
        <f>'приложение 4.2 '!H38</f>
        <v>9.9807620000000004</v>
      </c>
    </row>
    <row r="41" spans="1:9" ht="16.5" customHeight="1">
      <c r="A41" s="712"/>
      <c r="B41" s="723" t="s">
        <v>274</v>
      </c>
      <c r="C41" s="703">
        <f>'приложение 4.2 '!C39</f>
        <v>11.366082</v>
      </c>
      <c r="D41" s="703">
        <f>'приложение 4.2 '!D39</f>
        <v>44.750319999999995</v>
      </c>
      <c r="E41" s="703">
        <f>'приложение 4.2 '!E39</f>
        <v>57.067484629999996</v>
      </c>
      <c r="F41" s="703">
        <f>'приложение 4.2 '!F39</f>
        <v>57.901544635</v>
      </c>
      <c r="G41" s="703">
        <f>'приложение 4.2 '!G39</f>
        <v>3.0090000000000003</v>
      </c>
      <c r="H41" s="724">
        <f>'приложение 4.2 '!H39</f>
        <v>174.09443126499997</v>
      </c>
      <c r="I41" s="309"/>
    </row>
    <row r="42" spans="1:9" ht="16.5" customHeight="1">
      <c r="A42" s="713"/>
      <c r="B42" s="722" t="s">
        <v>180</v>
      </c>
      <c r="C42" s="609">
        <f>'приложение 4.2 '!C40</f>
        <v>11.366082</v>
      </c>
      <c r="D42" s="609">
        <f>'приложение 4.2 '!D40</f>
        <v>44.750319999999995</v>
      </c>
      <c r="E42" s="609">
        <f>'приложение 4.2 '!E40</f>
        <v>57.067484630000003</v>
      </c>
      <c r="F42" s="609">
        <f>'приложение 4.2 '!F40</f>
        <v>57.901544635</v>
      </c>
      <c r="G42" s="609">
        <f>'приложение 4.2 '!G40</f>
        <v>3.0090000000000003</v>
      </c>
      <c r="H42" s="721">
        <f>'приложение 4.2 '!H40</f>
        <v>174.094431265</v>
      </c>
    </row>
    <row r="43" spans="1:9" ht="16.5" customHeight="1">
      <c r="A43" s="713"/>
      <c r="B43" s="725" t="s">
        <v>181</v>
      </c>
      <c r="C43" s="609">
        <f>'приложение 4.2 '!C41</f>
        <v>0</v>
      </c>
      <c r="D43" s="609">
        <f>'приложение 4.2 '!D41</f>
        <v>0</v>
      </c>
      <c r="E43" s="609">
        <f>'приложение 4.2 '!E41</f>
        <v>0</v>
      </c>
      <c r="F43" s="609">
        <f>'приложение 4.2 '!F41</f>
        <v>0</v>
      </c>
      <c r="G43" s="609">
        <f>'приложение 4.2 '!G41</f>
        <v>0</v>
      </c>
      <c r="H43" s="721">
        <f>'приложение 4.2 '!H41</f>
        <v>0</v>
      </c>
    </row>
    <row r="44" spans="1:9" ht="16.5" customHeight="1" thickBot="1">
      <c r="A44" s="714"/>
      <c r="B44" s="726" t="s">
        <v>182</v>
      </c>
      <c r="C44" s="727">
        <f>'приложение 4.2 '!C42</f>
        <v>0</v>
      </c>
      <c r="D44" s="727">
        <f>'приложение 4.2 '!D42</f>
        <v>0</v>
      </c>
      <c r="E44" s="727">
        <f>'приложение 4.2 '!E42</f>
        <v>0</v>
      </c>
      <c r="F44" s="727">
        <f>'приложение 4.2 '!F42</f>
        <v>0</v>
      </c>
      <c r="G44" s="727">
        <f>'приложение 4.2 '!G42</f>
        <v>0</v>
      </c>
      <c r="H44" s="728">
        <f>'приложение 4.2 '!H42</f>
        <v>0</v>
      </c>
    </row>
    <row r="45" spans="1:9">
      <c r="A45" s="55"/>
      <c r="B45" s="313"/>
      <c r="C45" s="55"/>
      <c r="D45" s="55"/>
      <c r="E45" s="55"/>
      <c r="F45" s="55"/>
      <c r="G45" s="55"/>
      <c r="H45" s="55"/>
    </row>
    <row r="46" spans="1:9" ht="30.6" customHeight="1">
      <c r="A46" s="956" t="s">
        <v>78</v>
      </c>
      <c r="B46" s="956"/>
      <c r="C46" s="956"/>
      <c r="D46" s="956"/>
      <c r="E46" s="956"/>
      <c r="F46" s="956"/>
      <c r="G46" s="956"/>
      <c r="H46" s="956"/>
    </row>
    <row r="47" spans="1:9" ht="30.6" customHeight="1">
      <c r="A47" s="956" t="s">
        <v>443</v>
      </c>
      <c r="B47" s="956"/>
      <c r="C47" s="956"/>
      <c r="D47" s="956"/>
      <c r="E47" s="956"/>
      <c r="F47" s="956"/>
      <c r="G47" s="956"/>
      <c r="H47" s="956"/>
    </row>
    <row r="48" spans="1:9">
      <c r="A48" s="314"/>
      <c r="B48" s="315"/>
    </row>
    <row r="49" spans="1:8">
      <c r="A49" s="314"/>
    </row>
    <row r="50" spans="1:8">
      <c r="A50" s="314"/>
    </row>
    <row r="51" spans="1:8">
      <c r="A51" s="308"/>
      <c r="B51" s="308"/>
      <c r="C51" s="308"/>
      <c r="D51" s="308"/>
      <c r="E51" s="308"/>
      <c r="F51" s="308"/>
      <c r="G51" s="308"/>
      <c r="H51" s="308"/>
    </row>
    <row r="52" spans="1:8">
      <c r="A52" s="314"/>
    </row>
    <row r="53" spans="1:8">
      <c r="A53" s="316"/>
      <c r="C53" s="317"/>
      <c r="D53" s="317"/>
      <c r="E53" s="317"/>
      <c r="F53" s="317"/>
    </row>
    <row r="54" spans="1:8">
      <c r="C54" s="319"/>
      <c r="D54" s="319"/>
      <c r="E54" s="319"/>
      <c r="F54" s="319"/>
    </row>
    <row r="55" spans="1:8">
      <c r="A55" s="53"/>
      <c r="C55" s="307"/>
      <c r="D55" s="307"/>
      <c r="E55" s="307"/>
      <c r="F55" s="307"/>
    </row>
  </sheetData>
  <customSheetViews>
    <customSheetView guid="{8313A758-6764-4FAF-B5C3-0AC63E11C07D}" scale="80" showPageBreaks="1" zeroValues="0" fitToPage="1" printArea="1" view="pageBreakPreview">
      <selection activeCell="E10" sqref="E10:F10"/>
      <rowBreaks count="1" manualBreakCount="1">
        <brk id="48" max="9" man="1"/>
      </rowBreaks>
      <pageMargins left="0.74803149606299213" right="0.74803149606299213" top="0.98425196850393704" bottom="0.59055118110236227" header="0.51181102362204722" footer="0.51181102362204722"/>
      <pageSetup paperSize="9" scale="75" orientation="portrait" r:id="rId1"/>
      <headerFooter alignWithMargins="0">
        <oddFooter>&amp;R&amp;P</oddFooter>
      </headerFooter>
    </customSheetView>
    <customSheetView guid="{39750778-B4CA-4A61-A93E-2C57443220F3}" scale="80" showPageBreaks="1" zeroValues="0" fitToPage="1" printArea="1" view="pageBreakPreview" topLeftCell="A13">
      <selection activeCell="A15" sqref="A15:H44"/>
      <rowBreaks count="1" manualBreakCount="1">
        <brk id="48" max="9" man="1"/>
      </rowBreaks>
      <pageMargins left="0.74803149606299213" right="0.74803149606299213" top="0.98425196850393704" bottom="0.59055118110236227" header="0.51181102362204722" footer="0.51181102362204722"/>
      <pageSetup paperSize="9" scale="75" orientation="portrait" r:id="rId2"/>
      <headerFooter alignWithMargins="0">
        <oddFooter>&amp;R&amp;P</oddFooter>
      </headerFooter>
    </customSheetView>
  </customSheetViews>
  <mergeCells count="3">
    <mergeCell ref="A6:H6"/>
    <mergeCell ref="A46:H46"/>
    <mergeCell ref="A47:H47"/>
  </mergeCells>
  <pageMargins left="0.74803149606299213" right="0.55118110236220474" top="0.78740157480314965" bottom="0.59055118110236227" header="0.51181102362204722" footer="0.51181102362204722"/>
  <pageSetup paperSize="9" scale="75" fitToWidth="0" fitToHeight="0" orientation="portrait" r:id="rId3"/>
  <headerFooter alignWithMargins="0">
    <oddFooter>&amp;R&amp;P</oddFooter>
  </headerFooter>
  <rowBreaks count="1" manualBreakCount="1">
    <brk id="48" max="9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88"/>
  <sheetViews>
    <sheetView tabSelected="1" view="pageBreakPreview" zoomScale="75" zoomScaleNormal="80" workbookViewId="0">
      <selection activeCell="J11" sqref="J11"/>
    </sheetView>
  </sheetViews>
  <sheetFormatPr defaultRowHeight="15.75"/>
  <cols>
    <col min="1" max="1" width="7" style="611" customWidth="1"/>
    <col min="2" max="2" width="51.75" style="611" customWidth="1"/>
    <col min="3" max="5" width="12.75" style="611" customWidth="1"/>
    <col min="6" max="6" width="10.625" style="611" customWidth="1"/>
    <col min="7" max="7" width="11.375" style="611" customWidth="1"/>
    <col min="8" max="16384" width="9" style="611"/>
  </cols>
  <sheetData>
    <row r="2" spans="1:7">
      <c r="G2" s="610" t="s">
        <v>577</v>
      </c>
    </row>
    <row r="3" spans="1:7">
      <c r="G3" s="610" t="s">
        <v>433</v>
      </c>
    </row>
    <row r="4" spans="1:7">
      <c r="G4" s="610" t="s">
        <v>178</v>
      </c>
    </row>
    <row r="6" spans="1:7" ht="60.75" customHeight="1">
      <c r="A6" s="969" t="s">
        <v>444</v>
      </c>
      <c r="B6" s="969"/>
      <c r="C6" s="969"/>
      <c r="D6" s="969"/>
      <c r="E6" s="969"/>
      <c r="F6" s="969"/>
      <c r="G6" s="969"/>
    </row>
    <row r="7" spans="1:7">
      <c r="G7" s="730" t="s">
        <v>296</v>
      </c>
    </row>
    <row r="8" spans="1:7">
      <c r="G8" s="731" t="s">
        <v>615</v>
      </c>
    </row>
    <row r="9" spans="1:7">
      <c r="G9" s="730" t="s">
        <v>614</v>
      </c>
    </row>
    <row r="10" spans="1:7">
      <c r="G10" s="730" t="s">
        <v>656</v>
      </c>
    </row>
    <row r="11" spans="1:7">
      <c r="G11" s="730" t="s">
        <v>173</v>
      </c>
    </row>
    <row r="12" spans="1:7">
      <c r="G12" s="610"/>
    </row>
    <row r="13" spans="1:7" ht="16.5" thickBot="1">
      <c r="G13" s="610" t="s">
        <v>104</v>
      </c>
    </row>
    <row r="14" spans="1:7" s="53" customFormat="1">
      <c r="A14" s="951" t="s">
        <v>250</v>
      </c>
      <c r="B14" s="953" t="s">
        <v>123</v>
      </c>
      <c r="C14" s="660">
        <v>2016</v>
      </c>
      <c r="D14" s="595">
        <v>2017</v>
      </c>
      <c r="E14" s="595">
        <v>2018</v>
      </c>
      <c r="F14" s="595">
        <v>2019</v>
      </c>
      <c r="G14" s="500">
        <v>2020</v>
      </c>
    </row>
    <row r="15" spans="1:7" s="53" customFormat="1">
      <c r="A15" s="952"/>
      <c r="B15" s="954"/>
      <c r="C15" s="952" t="s">
        <v>124</v>
      </c>
      <c r="D15" s="949" t="s">
        <v>124</v>
      </c>
      <c r="E15" s="949" t="s">
        <v>124</v>
      </c>
      <c r="F15" s="949" t="s">
        <v>124</v>
      </c>
      <c r="G15" s="950" t="s">
        <v>124</v>
      </c>
    </row>
    <row r="16" spans="1:7" s="53" customFormat="1">
      <c r="A16" s="952"/>
      <c r="B16" s="954"/>
      <c r="C16" s="952"/>
      <c r="D16" s="949"/>
      <c r="E16" s="949"/>
      <c r="F16" s="949"/>
      <c r="G16" s="950"/>
    </row>
    <row r="17" spans="1:8" s="336" customFormat="1" ht="16.5" thickBot="1">
      <c r="A17" s="346">
        <v>1</v>
      </c>
      <c r="B17" s="347">
        <v>2</v>
      </c>
      <c r="C17" s="567">
        <v>3</v>
      </c>
      <c r="D17" s="568">
        <v>4</v>
      </c>
      <c r="E17" s="568">
        <v>5</v>
      </c>
      <c r="F17" s="568">
        <v>6</v>
      </c>
      <c r="G17" s="569">
        <v>7</v>
      </c>
    </row>
    <row r="18" spans="1:8" s="336" customFormat="1">
      <c r="A18" s="320" t="s">
        <v>79</v>
      </c>
      <c r="B18" s="340" t="s">
        <v>125</v>
      </c>
      <c r="C18" s="533">
        <f>'приложение 4.1 '!C18</f>
        <v>35.90504</v>
      </c>
      <c r="D18" s="321">
        <f>'приложение 4.1 '!D18</f>
        <v>61.157040000000002</v>
      </c>
      <c r="E18" s="321">
        <f>'приложение 4.1 '!E18</f>
        <v>74.22672</v>
      </c>
      <c r="F18" s="321">
        <f>'приложение 4.1 '!F18</f>
        <v>84.06438</v>
      </c>
      <c r="G18" s="322">
        <f>'приложение 4.1 '!G18</f>
        <v>90.86354</v>
      </c>
    </row>
    <row r="19" spans="1:8" s="336" customFormat="1">
      <c r="A19" s="323"/>
      <c r="B19" s="559" t="s">
        <v>134</v>
      </c>
      <c r="C19" s="534">
        <f>'приложение 4.1 '!C19</f>
        <v>0</v>
      </c>
      <c r="D19" s="283">
        <f>'приложение 4.1 '!D19</f>
        <v>0</v>
      </c>
      <c r="E19" s="283">
        <f>'приложение 4.1 '!E19</f>
        <v>0</v>
      </c>
      <c r="F19" s="283">
        <f>'приложение 4.1 '!F19</f>
        <v>0</v>
      </c>
      <c r="G19" s="284">
        <f>'приложение 4.1 '!G19</f>
        <v>0</v>
      </c>
    </row>
    <row r="20" spans="1:8" s="336" customFormat="1" ht="31.5">
      <c r="A20" s="323" t="s">
        <v>253</v>
      </c>
      <c r="B20" s="559" t="s">
        <v>406</v>
      </c>
      <c r="C20" s="534">
        <f>'приложение 4.1 '!C20</f>
        <v>35.90504</v>
      </c>
      <c r="D20" s="283">
        <f>'приложение 4.1 '!D20</f>
        <v>61.157040000000002</v>
      </c>
      <c r="E20" s="283">
        <f>'приложение 4.1 '!E20</f>
        <v>74.22672</v>
      </c>
      <c r="F20" s="283">
        <f>'приложение 4.1 '!F20</f>
        <v>84.06438</v>
      </c>
      <c r="G20" s="284">
        <f>'приложение 4.1 '!G20</f>
        <v>90.86354</v>
      </c>
    </row>
    <row r="21" spans="1:8" s="336" customFormat="1" ht="16.5" thickBot="1">
      <c r="A21" s="324" t="s">
        <v>254</v>
      </c>
      <c r="B21" s="560" t="s">
        <v>428</v>
      </c>
      <c r="C21" s="535">
        <f>'приложение 4.1 '!C21</f>
        <v>0</v>
      </c>
      <c r="D21" s="285">
        <f>'приложение 4.1 '!D21</f>
        <v>0</v>
      </c>
      <c r="E21" s="285">
        <f>'приложение 4.1 '!E21</f>
        <v>0</v>
      </c>
      <c r="F21" s="285">
        <f>'приложение 4.1 '!F21</f>
        <v>0</v>
      </c>
      <c r="G21" s="286">
        <f>'приложение 4.1 '!G21</f>
        <v>0</v>
      </c>
    </row>
    <row r="22" spans="1:8" s="336" customFormat="1">
      <c r="A22" s="289" t="s">
        <v>436</v>
      </c>
      <c r="B22" s="561" t="s">
        <v>147</v>
      </c>
      <c r="C22" s="533">
        <f>'приложение 4.1 '!C22</f>
        <v>33.760968200000001</v>
      </c>
      <c r="D22" s="321">
        <f>'приложение 4.1 '!D22</f>
        <v>42.046692199999995</v>
      </c>
      <c r="E22" s="321">
        <f>'приложение 4.1 '!E22</f>
        <v>46.718882200000003</v>
      </c>
      <c r="F22" s="321">
        <f>'приложение 4.1 '!F22</f>
        <v>55.216735200000002</v>
      </c>
      <c r="G22" s="322">
        <f>'приложение 4.1 '!G22</f>
        <v>62.405889929999994</v>
      </c>
    </row>
    <row r="23" spans="1:8" s="336" customFormat="1">
      <c r="A23" s="287" t="s">
        <v>252</v>
      </c>
      <c r="B23" s="562" t="s">
        <v>126</v>
      </c>
      <c r="C23" s="661">
        <f>'приложение 4.1 '!C23</f>
        <v>0.90619279999999991</v>
      </c>
      <c r="D23" s="283">
        <f>'приложение 4.1 '!D23</f>
        <v>1.1271242000000001</v>
      </c>
      <c r="E23" s="283">
        <f>'приложение 4.1 '!E23</f>
        <v>1.2961946</v>
      </c>
      <c r="F23" s="283">
        <f>'приложение 4.1 '!F23</f>
        <v>1.4906231999999999</v>
      </c>
      <c r="G23" s="662">
        <f>'приложение 4.1 '!G23</f>
        <v>1.7142166799999998</v>
      </c>
    </row>
    <row r="24" spans="1:8" s="336" customFormat="1">
      <c r="A24" s="323"/>
      <c r="B24" s="559" t="s">
        <v>134</v>
      </c>
      <c r="C24" s="537">
        <f>'приложение 4.1 '!C24</f>
        <v>0</v>
      </c>
      <c r="D24" s="327">
        <f>'приложение 4.1 '!D24</f>
        <v>0</v>
      </c>
      <c r="E24" s="327">
        <f>'приложение 4.1 '!E24</f>
        <v>0</v>
      </c>
      <c r="F24" s="327">
        <f>'приложение 4.1 '!F24</f>
        <v>0</v>
      </c>
      <c r="G24" s="328">
        <f>'приложение 4.1 '!G24</f>
        <v>0</v>
      </c>
    </row>
    <row r="25" spans="1:8" s="336" customFormat="1">
      <c r="A25" s="323" t="s">
        <v>253</v>
      </c>
      <c r="B25" s="559" t="s">
        <v>454</v>
      </c>
      <c r="C25" s="537">
        <f>'приложение 4.1 '!C25</f>
        <v>0</v>
      </c>
      <c r="D25" s="327">
        <f>'приложение 4.1 '!D25</f>
        <v>0</v>
      </c>
      <c r="E25" s="327">
        <f>'приложение 4.1 '!E25</f>
        <v>0</v>
      </c>
      <c r="F25" s="327">
        <f>'приложение 4.1 '!F25</f>
        <v>0</v>
      </c>
      <c r="G25" s="328">
        <f>'приложение 4.1 '!G25</f>
        <v>0</v>
      </c>
    </row>
    <row r="26" spans="1:8" s="336" customFormat="1">
      <c r="A26" s="323" t="s">
        <v>254</v>
      </c>
      <c r="B26" s="559" t="s">
        <v>455</v>
      </c>
      <c r="C26" s="689">
        <f>'приложение 4.1 '!C26</f>
        <v>3.8220200000000003E-2</v>
      </c>
      <c r="D26" s="690">
        <f>'приложение 4.1 '!D26</f>
        <v>4.3907799999999997E-2</v>
      </c>
      <c r="E26" s="690">
        <f>'приложение 4.1 '!E26</f>
        <v>5.0032E-2</v>
      </c>
      <c r="F26" s="690">
        <f>'приложение 4.1 '!F26</f>
        <v>5.6958599999999998E-2</v>
      </c>
      <c r="G26" s="690">
        <f>'приложение 4.1 '!G26</f>
        <v>63.203999999999994</v>
      </c>
    </row>
    <row r="27" spans="1:8" s="336" customFormat="1">
      <c r="A27" s="323" t="s">
        <v>265</v>
      </c>
      <c r="B27" s="559" t="s">
        <v>456</v>
      </c>
      <c r="C27" s="626">
        <f>'приложение 4.1 '!C27</f>
        <v>0</v>
      </c>
      <c r="D27" s="627">
        <f>'приложение 4.1 '!D27</f>
        <v>0</v>
      </c>
      <c r="E27" s="627">
        <f>'приложение 4.1 '!E27</f>
        <v>0</v>
      </c>
      <c r="F27" s="627">
        <f>'приложение 4.1 '!F27</f>
        <v>0</v>
      </c>
      <c r="G27" s="628">
        <f>'приложение 4.1 '!G27</f>
        <v>0</v>
      </c>
    </row>
    <row r="28" spans="1:8" s="336" customFormat="1">
      <c r="A28" s="287" t="s">
        <v>255</v>
      </c>
      <c r="B28" s="562" t="s">
        <v>127</v>
      </c>
      <c r="C28" s="623">
        <f>'приложение 4.1 '!C29</f>
        <v>11.001258</v>
      </c>
      <c r="D28" s="624">
        <f>'приложение 4.1 '!D29</f>
        <v>13.076523999999999</v>
      </c>
      <c r="E28" s="624">
        <f>'приложение 4.1 '!E29</f>
        <v>9.6630000000000003</v>
      </c>
      <c r="F28" s="624">
        <f>'приложение 4.1 '!F29</f>
        <v>9.9800900000000006</v>
      </c>
      <c r="G28" s="625">
        <f>'приложение 4.1 '!G29</f>
        <v>11.4771035</v>
      </c>
    </row>
    <row r="29" spans="1:8" s="336" customFormat="1" ht="21" customHeight="1">
      <c r="A29" s="287" t="s">
        <v>128</v>
      </c>
      <c r="B29" s="562" t="s">
        <v>129</v>
      </c>
      <c r="C29" s="623">
        <f>'приложение 4.1 '!C30</f>
        <v>0</v>
      </c>
      <c r="D29" s="624">
        <f>'приложение 4.1 '!D30</f>
        <v>0</v>
      </c>
      <c r="E29" s="624">
        <f>'приложение 4.1 '!E30</f>
        <v>5.7360035999999992</v>
      </c>
      <c r="F29" s="624">
        <f>'приложение 4.1 '!F30</f>
        <v>10.6586686</v>
      </c>
      <c r="G29" s="624">
        <f>'приложение 4.1 '!G30</f>
        <v>11.20528</v>
      </c>
      <c r="H29" s="612"/>
    </row>
    <row r="30" spans="1:8" s="336" customFormat="1">
      <c r="A30" s="287" t="s">
        <v>130</v>
      </c>
      <c r="B30" s="562" t="s">
        <v>139</v>
      </c>
      <c r="C30" s="623">
        <f>'приложение 4.1 '!C31</f>
        <v>3.9824999999999999E-2</v>
      </c>
      <c r="D30" s="624">
        <f>'приложение 4.1 '!D31</f>
        <v>0.61579479999999998</v>
      </c>
      <c r="E30" s="624">
        <f>'приложение 4.1 '!E31</f>
        <v>0.76702359999999992</v>
      </c>
      <c r="F30" s="624">
        <f>'приложение 4.1 '!F31</f>
        <v>0.89488839999999992</v>
      </c>
      <c r="G30" s="624">
        <f>'приложение 4.1 '!G31</f>
        <v>0.98795500000000003</v>
      </c>
    </row>
    <row r="31" spans="1:8" s="336" customFormat="1">
      <c r="A31" s="287" t="s">
        <v>138</v>
      </c>
      <c r="B31" s="562" t="s">
        <v>131</v>
      </c>
      <c r="C31" s="635">
        <f>'приложение 4.1 '!C32</f>
        <v>21.813692400000001</v>
      </c>
      <c r="D31" s="624">
        <f>'приложение 4.1 '!D32</f>
        <v>27.227249199999999</v>
      </c>
      <c r="E31" s="624">
        <f>'приложение 4.1 '!E32</f>
        <v>29.256660400000001</v>
      </c>
      <c r="F31" s="693">
        <f>'приложение 4.1 '!F32</f>
        <v>32.192464999999999</v>
      </c>
      <c r="G31" s="625">
        <f>'приложение 4.1 '!G32</f>
        <v>37.021334749999994</v>
      </c>
    </row>
    <row r="32" spans="1:8" s="336" customFormat="1">
      <c r="A32" s="323"/>
      <c r="B32" s="559" t="s">
        <v>134</v>
      </c>
      <c r="C32" s="626">
        <f>'приложение 4.1 '!C33</f>
        <v>0</v>
      </c>
      <c r="D32" s="627">
        <f>'приложение 4.1 '!D33</f>
        <v>0</v>
      </c>
      <c r="E32" s="627">
        <f>'приложение 4.1 '!E33</f>
        <v>0</v>
      </c>
      <c r="F32" s="627">
        <f>'приложение 4.1 '!F33</f>
        <v>0</v>
      </c>
      <c r="G32" s="628">
        <f>'приложение 4.1 '!G33</f>
        <v>0</v>
      </c>
    </row>
    <row r="33" spans="1:8" s="336" customFormat="1">
      <c r="A33" s="323" t="s">
        <v>263</v>
      </c>
      <c r="B33" s="559" t="s">
        <v>133</v>
      </c>
      <c r="C33" s="626">
        <f>'приложение 4.1 '!C34</f>
        <v>0</v>
      </c>
      <c r="D33" s="627">
        <f>'приложение 4.1 '!D34</f>
        <v>0</v>
      </c>
      <c r="E33" s="627">
        <f>'приложение 4.1 '!E34</f>
        <v>0</v>
      </c>
      <c r="F33" s="627">
        <f>'приложение 4.1 '!F34</f>
        <v>0</v>
      </c>
      <c r="G33" s="628">
        <f>'приложение 4.1 '!G34</f>
        <v>0</v>
      </c>
    </row>
    <row r="34" spans="1:8" s="336" customFormat="1">
      <c r="A34" s="323" t="s">
        <v>140</v>
      </c>
      <c r="B34" s="559" t="s">
        <v>148</v>
      </c>
      <c r="C34" s="537">
        <f>'приложение 4.1 '!C35</f>
        <v>22.624376000000002</v>
      </c>
      <c r="D34" s="327">
        <f>'приложение 4.1 '!D35</f>
        <v>27.063299999999998</v>
      </c>
      <c r="E34" s="327">
        <f>'приложение 4.1 '!E35</f>
        <v>29.06812</v>
      </c>
      <c r="F34" s="327">
        <f>'приложение 4.1 '!F35</f>
        <v>31.975639999999999</v>
      </c>
      <c r="G34" s="328">
        <f>'приложение 4.1 '!G35</f>
        <v>35.172259999999994</v>
      </c>
    </row>
    <row r="35" spans="1:8" s="336" customFormat="1" ht="16.5" thickBot="1">
      <c r="A35" s="324" t="s">
        <v>246</v>
      </c>
      <c r="B35" s="560" t="s">
        <v>149</v>
      </c>
      <c r="C35" s="538">
        <f>'приложение 4.1 '!C36</f>
        <v>0</v>
      </c>
      <c r="D35" s="329">
        <f>'приложение 4.1 '!D36</f>
        <v>0</v>
      </c>
      <c r="E35" s="329">
        <f>'приложение 4.1 '!E36</f>
        <v>0</v>
      </c>
      <c r="F35" s="329">
        <f>'приложение 4.1 '!F36</f>
        <v>0</v>
      </c>
      <c r="G35" s="330">
        <f>'приложение 4.1 '!G36</f>
        <v>0</v>
      </c>
    </row>
    <row r="36" spans="1:8" s="336" customFormat="1" ht="16.5" thickBot="1">
      <c r="A36" s="331" t="s">
        <v>437</v>
      </c>
      <c r="B36" s="563" t="s">
        <v>150</v>
      </c>
      <c r="C36" s="572">
        <f>'приложение 4.1 '!C37</f>
        <v>2.144071799999999</v>
      </c>
      <c r="D36" s="573">
        <f>'приложение 4.1 '!D37</f>
        <v>19.110347800000007</v>
      </c>
      <c r="E36" s="573">
        <f>'приложение 4.1 '!E37</f>
        <v>27.507837799999997</v>
      </c>
      <c r="F36" s="573">
        <f>'приложение 4.1 '!F37</f>
        <v>28.847644799999998</v>
      </c>
      <c r="G36" s="574">
        <f>'приложение 4.1 '!G37</f>
        <v>28.457650070000007</v>
      </c>
    </row>
    <row r="37" spans="1:8" s="336" customFormat="1">
      <c r="A37" s="320" t="s">
        <v>141</v>
      </c>
      <c r="B37" s="340" t="s">
        <v>94</v>
      </c>
      <c r="C37" s="533">
        <f>'приложение 4.1 '!C38</f>
        <v>-0.45227039999999996</v>
      </c>
      <c r="D37" s="321">
        <f>'приложение 4.1 '!D38</f>
        <v>-2.8705918999999995</v>
      </c>
      <c r="E37" s="321">
        <f>'приложение 4.1 '!E38</f>
        <v>-7.9476056566499986</v>
      </c>
      <c r="F37" s="321">
        <f>'приложение 4.1 '!F38</f>
        <v>-10.684107113299998</v>
      </c>
      <c r="G37" s="322">
        <f>'приложение 4.1 '!G38</f>
        <v>-10.777480513299999</v>
      </c>
    </row>
    <row r="38" spans="1:8" s="336" customFormat="1">
      <c r="A38" s="323" t="s">
        <v>252</v>
      </c>
      <c r="B38" s="559" t="s">
        <v>95</v>
      </c>
      <c r="C38" s="537">
        <f>'приложение 4.1 '!C39</f>
        <v>0</v>
      </c>
      <c r="D38" s="327">
        <f>'приложение 4.1 '!D39</f>
        <v>0</v>
      </c>
      <c r="E38" s="327">
        <f>'приложение 4.1 '!E39</f>
        <v>0</v>
      </c>
      <c r="F38" s="327">
        <f>'приложение 4.1 '!F39</f>
        <v>0</v>
      </c>
      <c r="G38" s="328">
        <f>'приложение 4.1 '!G39</f>
        <v>0</v>
      </c>
    </row>
    <row r="39" spans="1:8" s="336" customFormat="1">
      <c r="A39" s="323"/>
      <c r="B39" s="559" t="s">
        <v>132</v>
      </c>
      <c r="C39" s="537">
        <f>'приложение 4.1 '!C40</f>
        <v>0</v>
      </c>
      <c r="D39" s="327">
        <f>'приложение 4.1 '!D40</f>
        <v>0</v>
      </c>
      <c r="E39" s="327">
        <f>'приложение 4.1 '!E40</f>
        <v>0</v>
      </c>
      <c r="F39" s="327">
        <f>'приложение 4.1 '!F40</f>
        <v>0</v>
      </c>
      <c r="G39" s="328">
        <f>'приложение 4.1 '!G40</f>
        <v>0</v>
      </c>
    </row>
    <row r="40" spans="1:8" s="336" customFormat="1" ht="31.5">
      <c r="A40" s="323" t="s">
        <v>253</v>
      </c>
      <c r="B40" s="559" t="s">
        <v>5</v>
      </c>
      <c r="C40" s="537">
        <f>'приложение 4.1 '!C41</f>
        <v>0</v>
      </c>
      <c r="D40" s="327">
        <f>'приложение 4.1 '!D41</f>
        <v>0</v>
      </c>
      <c r="E40" s="327">
        <f>'приложение 4.1 '!E41</f>
        <v>0</v>
      </c>
      <c r="F40" s="327">
        <f>'приложение 4.1 '!F41</f>
        <v>0</v>
      </c>
      <c r="G40" s="328">
        <f>'приложение 4.1 '!G41</f>
        <v>0</v>
      </c>
    </row>
    <row r="41" spans="1:8" s="336" customFormat="1">
      <c r="A41" s="323" t="s">
        <v>254</v>
      </c>
      <c r="B41" s="564" t="s">
        <v>418</v>
      </c>
      <c r="C41" s="537">
        <f>'приложение 4.1 '!C42</f>
        <v>0</v>
      </c>
      <c r="D41" s="327">
        <f>'приложение 4.1 '!D42</f>
        <v>0</v>
      </c>
      <c r="E41" s="327">
        <f>'приложение 4.1 '!E42</f>
        <v>0</v>
      </c>
      <c r="F41" s="327">
        <f>'приложение 4.1 '!F42</f>
        <v>0</v>
      </c>
      <c r="G41" s="328">
        <f>'приложение 4.1 '!G42</f>
        <v>0</v>
      </c>
    </row>
    <row r="42" spans="1:8" s="336" customFormat="1">
      <c r="A42" s="323" t="s">
        <v>255</v>
      </c>
      <c r="B42" s="559" t="s">
        <v>96</v>
      </c>
      <c r="C42" s="694">
        <f>'приложение 4.1 '!C43</f>
        <v>0.45227039999999996</v>
      </c>
      <c r="D42" s="627">
        <f>'приложение 4.1 '!D43</f>
        <v>2.8705918999999995</v>
      </c>
      <c r="E42" s="627">
        <f>'приложение 4.1 '!E43</f>
        <v>7.9476056566499986</v>
      </c>
      <c r="F42" s="627">
        <f>'приложение 4.1 '!F43</f>
        <v>10.684107113299998</v>
      </c>
      <c r="G42" s="695">
        <f>'приложение 4.1 '!G43</f>
        <v>10.777480513299999</v>
      </c>
    </row>
    <row r="43" spans="1:8" s="336" customFormat="1">
      <c r="A43" s="323"/>
      <c r="B43" s="559" t="s">
        <v>132</v>
      </c>
      <c r="C43" s="626">
        <f>'приложение 4.1 '!C44</f>
        <v>0</v>
      </c>
      <c r="D43" s="627">
        <f>'приложение 4.1 '!D44</f>
        <v>0</v>
      </c>
      <c r="E43" s="627">
        <f>'приложение 4.1 '!E44</f>
        <v>0</v>
      </c>
      <c r="F43" s="627">
        <f>'приложение 4.1 '!F44</f>
        <v>0</v>
      </c>
      <c r="G43" s="628">
        <f>'приложение 4.1 '!G44</f>
        <v>0</v>
      </c>
    </row>
    <row r="44" spans="1:8" s="336" customFormat="1" ht="16.5" thickBot="1">
      <c r="A44" s="324" t="s">
        <v>256</v>
      </c>
      <c r="B44" s="560" t="s">
        <v>419</v>
      </c>
      <c r="C44" s="696">
        <f>'приложение 4.1 '!C45</f>
        <v>0</v>
      </c>
      <c r="D44" s="697">
        <f>'приложение 4.1 '!D45</f>
        <v>2.3504832999999996</v>
      </c>
      <c r="E44" s="697">
        <f>'приложение 4.1 '!E45</f>
        <v>7.355458056649999</v>
      </c>
      <c r="F44" s="697">
        <f>'приложение 4.1 '!F45</f>
        <v>10.009949513299999</v>
      </c>
      <c r="G44" s="697">
        <f>'приложение 4.1 '!G45</f>
        <v>10.009949513299999</v>
      </c>
    </row>
    <row r="45" spans="1:8" s="336" customFormat="1" ht="16.5" thickBot="1">
      <c r="A45" s="332" t="s">
        <v>97</v>
      </c>
      <c r="B45" s="339" t="s">
        <v>98</v>
      </c>
      <c r="C45" s="631">
        <f>'приложение 4.1 '!C46</f>
        <v>1.691801399999999</v>
      </c>
      <c r="D45" s="632">
        <f>'приложение 4.1 '!D46</f>
        <v>16.239755900000006</v>
      </c>
      <c r="E45" s="632">
        <f>'приложение 4.1 '!E46</f>
        <v>19.560232143349999</v>
      </c>
      <c r="F45" s="632">
        <f>'приложение 4.1 '!F46</f>
        <v>18.1635376867</v>
      </c>
      <c r="G45" s="633">
        <f>'приложение 4.1 '!G46</f>
        <v>17.680169556700008</v>
      </c>
    </row>
    <row r="46" spans="1:8" s="336" customFormat="1" ht="16.5" thickBot="1">
      <c r="A46" s="332" t="s">
        <v>99</v>
      </c>
      <c r="B46" s="339" t="s">
        <v>100</v>
      </c>
      <c r="C46" s="698">
        <f>'приложение 4.1 '!C47</f>
        <v>0.61579479999999998</v>
      </c>
      <c r="D46" s="699">
        <f>'приложение 4.1 '!D47</f>
        <v>0.61579479999999998</v>
      </c>
      <c r="E46" s="699">
        <f>'приложение 4.1 '!E47</f>
        <v>0.76702359999999992</v>
      </c>
      <c r="F46" s="699">
        <f>'приложение 4.1 '!F47</f>
        <v>0.89488839999999992</v>
      </c>
      <c r="G46" s="700">
        <f>'приложение 4.1 '!G47</f>
        <v>0.98795500000000003</v>
      </c>
    </row>
    <row r="47" spans="1:8" s="336" customFormat="1" ht="16.5" thickBot="1">
      <c r="A47" s="332" t="s">
        <v>101</v>
      </c>
      <c r="B47" s="339" t="s">
        <v>102</v>
      </c>
      <c r="C47" s="663">
        <f>'приложение 4.1 '!C48</f>
        <v>1.076006599999999</v>
      </c>
      <c r="D47" s="664">
        <f>'приложение 4.1 '!D48</f>
        <v>15.623961100000006</v>
      </c>
      <c r="E47" s="664">
        <f>'приложение 4.1 '!E48</f>
        <v>18.793208543349998</v>
      </c>
      <c r="F47" s="664">
        <f>'приложение 4.1 '!F48</f>
        <v>17.268649286700001</v>
      </c>
      <c r="G47" s="665">
        <f>'приложение 4.1 '!G48</f>
        <v>16.692214556700009</v>
      </c>
      <c r="H47" s="612"/>
    </row>
    <row r="48" spans="1:8" s="336" customFormat="1">
      <c r="A48" s="320" t="s">
        <v>103</v>
      </c>
      <c r="B48" s="340" t="s">
        <v>452</v>
      </c>
      <c r="C48" s="533">
        <f>'приложение 4.1 '!C49</f>
        <v>0</v>
      </c>
      <c r="D48" s="321">
        <f>'приложение 4.1 '!D49</f>
        <v>0</v>
      </c>
      <c r="E48" s="321">
        <f>'приложение 4.1 '!E49</f>
        <v>0</v>
      </c>
      <c r="F48" s="321">
        <f>'приложение 4.1 '!F49</f>
        <v>0</v>
      </c>
      <c r="G48" s="322">
        <f>'приложение 4.1 '!G49</f>
        <v>0</v>
      </c>
    </row>
    <row r="49" spans="1:8" s="336" customFormat="1">
      <c r="A49" s="323"/>
      <c r="B49" s="559" t="s">
        <v>134</v>
      </c>
      <c r="C49" s="537">
        <f>'приложение 4.1 '!C50</f>
        <v>0</v>
      </c>
      <c r="D49" s="327">
        <f>'приложение 4.1 '!D50</f>
        <v>0</v>
      </c>
      <c r="E49" s="327">
        <f>'приложение 4.1 '!E50</f>
        <v>0</v>
      </c>
      <c r="F49" s="327">
        <f>'приложение 4.1 '!F50</f>
        <v>0</v>
      </c>
      <c r="G49" s="328">
        <f>'приложение 4.1 '!G50</f>
        <v>0</v>
      </c>
    </row>
    <row r="50" spans="1:8" s="336" customFormat="1">
      <c r="A50" s="323" t="s">
        <v>252</v>
      </c>
      <c r="B50" s="559" t="s">
        <v>420</v>
      </c>
      <c r="C50" s="537">
        <f>'приложение 4.1 '!C51</f>
        <v>0</v>
      </c>
      <c r="D50" s="327">
        <f>'приложение 4.1 '!D51</f>
        <v>0</v>
      </c>
      <c r="E50" s="327">
        <f>'приложение 4.1 '!E51</f>
        <v>0</v>
      </c>
      <c r="F50" s="327">
        <f>'приложение 4.1 '!F51</f>
        <v>0</v>
      </c>
      <c r="G50" s="328">
        <f>'приложение 4.1 '!G51</f>
        <v>0</v>
      </c>
    </row>
    <row r="51" spans="1:8" s="336" customFormat="1">
      <c r="A51" s="335" t="s">
        <v>255</v>
      </c>
      <c r="B51" s="559" t="s">
        <v>421</v>
      </c>
      <c r="C51" s="617">
        <f>'приложение 4.1 '!C52</f>
        <v>0</v>
      </c>
      <c r="D51" s="692">
        <f>'приложение 4.1 '!D52</f>
        <v>0</v>
      </c>
      <c r="E51" s="692">
        <f>'приложение 4.1 '!E52</f>
        <v>0</v>
      </c>
      <c r="F51" s="692">
        <f>'приложение 4.1 '!F52</f>
        <v>0</v>
      </c>
      <c r="G51" s="701">
        <f>'приложение 4.1 '!G52</f>
        <v>0</v>
      </c>
    </row>
    <row r="52" spans="1:8" s="336" customFormat="1">
      <c r="A52" s="323" t="s">
        <v>128</v>
      </c>
      <c r="B52" s="559" t="s">
        <v>422</v>
      </c>
      <c r="C52" s="83">
        <f>'приложение 4.1 '!C53</f>
        <v>0</v>
      </c>
      <c r="D52" s="692">
        <f>'приложение 4.1 '!D53</f>
        <v>0</v>
      </c>
      <c r="E52" s="692">
        <f>'приложение 4.1 '!E53</f>
        <v>0</v>
      </c>
      <c r="F52" s="692">
        <f>'приложение 4.1 '!F53</f>
        <v>0</v>
      </c>
      <c r="G52" s="701">
        <f>'приложение 4.1 '!G53</f>
        <v>0</v>
      </c>
    </row>
    <row r="53" spans="1:8" s="336" customFormat="1" ht="16.5" thickBot="1">
      <c r="A53" s="324" t="s">
        <v>130</v>
      </c>
      <c r="B53" s="560" t="s">
        <v>423</v>
      </c>
      <c r="C53" s="535">
        <f>'приложение 4.1 '!C54</f>
        <v>0</v>
      </c>
      <c r="D53" s="285">
        <f>'приложение 4.1 '!D54</f>
        <v>0</v>
      </c>
      <c r="E53" s="285">
        <f>'приложение 4.1 '!E54</f>
        <v>0</v>
      </c>
      <c r="F53" s="285">
        <f>'приложение 4.1 '!F54</f>
        <v>0</v>
      </c>
      <c r="G53" s="286">
        <f>'приложение 4.1 '!G54</f>
        <v>0</v>
      </c>
    </row>
    <row r="54" spans="1:8" s="336" customFormat="1">
      <c r="A54" s="320" t="s">
        <v>164</v>
      </c>
      <c r="B54" s="340" t="s">
        <v>427</v>
      </c>
      <c r="C54" s="533">
        <f>'приложение 4.1 '!C55</f>
        <v>0</v>
      </c>
      <c r="D54" s="321">
        <f>'приложение 4.1 '!D55</f>
        <v>0</v>
      </c>
      <c r="E54" s="321">
        <f>'приложение 4.1 '!E55</f>
        <v>0</v>
      </c>
      <c r="F54" s="321">
        <f>'приложение 4.1 '!F55</f>
        <v>0</v>
      </c>
      <c r="G54" s="322">
        <f>'приложение 4.1 '!G55</f>
        <v>0</v>
      </c>
    </row>
    <row r="55" spans="1:8" s="336" customFormat="1">
      <c r="A55" s="323" t="s">
        <v>252</v>
      </c>
      <c r="B55" s="613" t="s">
        <v>479</v>
      </c>
      <c r="C55" s="537">
        <f>'приложение 4.1 '!C56</f>
        <v>0</v>
      </c>
      <c r="D55" s="327">
        <f>'приложение 4.1 '!D56</f>
        <v>0</v>
      </c>
      <c r="E55" s="327">
        <f>'приложение 4.1 '!E56</f>
        <v>0</v>
      </c>
      <c r="F55" s="327">
        <f>'приложение 4.1 '!F56</f>
        <v>0</v>
      </c>
      <c r="G55" s="328">
        <f>'приложение 4.1 '!G56</f>
        <v>0</v>
      </c>
    </row>
    <row r="56" spans="1:8" s="336" customFormat="1">
      <c r="A56" s="323" t="s">
        <v>255</v>
      </c>
      <c r="B56" s="559" t="s">
        <v>414</v>
      </c>
      <c r="C56" s="537">
        <f>'приложение 4.1 '!C57</f>
        <v>0</v>
      </c>
      <c r="D56" s="327">
        <f>'приложение 4.1 '!D57</f>
        <v>0</v>
      </c>
      <c r="E56" s="327">
        <f>'приложение 4.1 '!E57</f>
        <v>0</v>
      </c>
      <c r="F56" s="327">
        <f>'приложение 4.1 '!F57</f>
        <v>0</v>
      </c>
      <c r="G56" s="328">
        <f>'приложение 4.1 '!G57</f>
        <v>0</v>
      </c>
    </row>
    <row r="57" spans="1:8" s="336" customFormat="1" ht="16.5" thickBot="1">
      <c r="A57" s="324"/>
      <c r="B57" s="560" t="s">
        <v>415</v>
      </c>
      <c r="C57" s="538">
        <f>'приложение 4.1 '!C58</f>
        <v>0</v>
      </c>
      <c r="D57" s="329">
        <f>'приложение 4.1 '!D58</f>
        <v>0</v>
      </c>
      <c r="E57" s="329">
        <f>'приложение 4.1 '!E58</f>
        <v>0</v>
      </c>
      <c r="F57" s="329">
        <f>'приложение 4.1 '!F58</f>
        <v>0</v>
      </c>
      <c r="G57" s="330">
        <f>'приложение 4.1 '!G58</f>
        <v>0</v>
      </c>
    </row>
    <row r="58" spans="1:8" s="336" customFormat="1">
      <c r="A58" s="320" t="s">
        <v>105</v>
      </c>
      <c r="B58" s="340" t="s">
        <v>451</v>
      </c>
      <c r="C58" s="533">
        <f>'приложение 4.1 '!C59</f>
        <v>0</v>
      </c>
      <c r="D58" s="321">
        <f>'приложение 4.1 '!D59</f>
        <v>0</v>
      </c>
      <c r="E58" s="321">
        <f>'приложение 4.1 '!E59</f>
        <v>0</v>
      </c>
      <c r="F58" s="321">
        <f>'приложение 4.1 '!F59</f>
        <v>0</v>
      </c>
      <c r="G58" s="322">
        <f>'приложение 4.1 '!G59</f>
        <v>0</v>
      </c>
    </row>
    <row r="59" spans="1:8" s="336" customFormat="1">
      <c r="A59" s="323" t="s">
        <v>252</v>
      </c>
      <c r="B59" s="613" t="s">
        <v>416</v>
      </c>
      <c r="C59" s="537">
        <f>'приложение 4.1 '!C60</f>
        <v>0</v>
      </c>
      <c r="D59" s="327">
        <f>'приложение 4.1 '!D60</f>
        <v>0</v>
      </c>
      <c r="E59" s="327">
        <f>'приложение 4.1 '!E60</f>
        <v>0</v>
      </c>
      <c r="F59" s="327">
        <f>'приложение 4.1 '!F60</f>
        <v>0</v>
      </c>
      <c r="G59" s="328">
        <f>'приложение 4.1 '!G60</f>
        <v>0</v>
      </c>
    </row>
    <row r="60" spans="1:8" s="336" customFormat="1">
      <c r="A60" s="323" t="s">
        <v>255</v>
      </c>
      <c r="B60" s="559" t="s">
        <v>417</v>
      </c>
      <c r="C60" s="537">
        <f>'приложение 4.1 '!C61</f>
        <v>0</v>
      </c>
      <c r="D60" s="327">
        <f>'приложение 4.1 '!D61</f>
        <v>0</v>
      </c>
      <c r="E60" s="327">
        <f>'приложение 4.1 '!E61</f>
        <v>0</v>
      </c>
      <c r="F60" s="327">
        <f>'приложение 4.1 '!F61</f>
        <v>0</v>
      </c>
      <c r="G60" s="328">
        <f>'приложение 4.1 '!G61</f>
        <v>0</v>
      </c>
    </row>
    <row r="61" spans="1:8" s="336" customFormat="1" ht="16.5" thickBot="1">
      <c r="A61" s="324"/>
      <c r="B61" s="560" t="s">
        <v>415</v>
      </c>
      <c r="C61" s="538">
        <f>'приложение 4.1 '!C62</f>
        <v>0</v>
      </c>
      <c r="D61" s="329">
        <f>'приложение 4.1 '!D62</f>
        <v>0</v>
      </c>
      <c r="E61" s="329">
        <f>'приложение 4.1 '!E62</f>
        <v>0</v>
      </c>
      <c r="F61" s="329">
        <f>'приложение 4.1 '!F62</f>
        <v>0</v>
      </c>
      <c r="G61" s="330">
        <f>'приложение 4.1 '!G62</f>
        <v>0</v>
      </c>
    </row>
    <row r="62" spans="1:8" s="336" customFormat="1">
      <c r="A62" s="320" t="s">
        <v>108</v>
      </c>
      <c r="B62" s="340" t="s">
        <v>106</v>
      </c>
      <c r="C62" s="536">
        <f>'приложение 4.1 '!C63</f>
        <v>9.9807620000000004</v>
      </c>
      <c r="D62" s="325">
        <f>'приложение 4.1 '!D63</f>
        <v>42.736059999999995</v>
      </c>
      <c r="E62" s="325">
        <f>'приложение 4.1 '!E63</f>
        <v>48.263481030000001</v>
      </c>
      <c r="F62" s="325">
        <f>'приложение 4.1 '!F63</f>
        <v>43.663936034999999</v>
      </c>
      <c r="G62" s="326">
        <f>'приложение 4.1 '!G63</f>
        <v>0</v>
      </c>
      <c r="H62" s="612"/>
    </row>
    <row r="63" spans="1:8" s="336" customFormat="1">
      <c r="A63" s="287"/>
      <c r="B63" s="559" t="s">
        <v>107</v>
      </c>
      <c r="C63" s="537">
        <f>'приложение 4.1 '!C64</f>
        <v>0</v>
      </c>
      <c r="D63" s="327">
        <f>'приложение 4.1 '!D64</f>
        <v>0</v>
      </c>
      <c r="E63" s="327">
        <f>'приложение 4.1 '!E64</f>
        <v>0</v>
      </c>
      <c r="F63" s="327">
        <f>'приложение 4.1 '!F64</f>
        <v>0</v>
      </c>
      <c r="G63" s="328">
        <f>'приложение 4.1 '!G64</f>
        <v>0</v>
      </c>
    </row>
    <row r="64" spans="1:8" s="336" customFormat="1">
      <c r="A64" s="323" t="s">
        <v>252</v>
      </c>
      <c r="B64" s="559" t="s">
        <v>424</v>
      </c>
      <c r="C64" s="537">
        <f>'приложение 4.1 '!C65</f>
        <v>9.9807620000000004</v>
      </c>
      <c r="D64" s="327">
        <f>'приложение 4.1 '!D65</f>
        <v>42.736059999999995</v>
      </c>
      <c r="E64" s="327">
        <f>'приложение 4.1 '!E65</f>
        <v>48.263481030000001</v>
      </c>
      <c r="F64" s="327">
        <f>'приложение 4.1 '!F65</f>
        <v>43.663936034999999</v>
      </c>
      <c r="G64" s="328">
        <f>'приложение 4.1 '!G65</f>
        <v>0</v>
      </c>
    </row>
    <row r="65" spans="1:8" s="336" customFormat="1">
      <c r="A65" s="323" t="s">
        <v>253</v>
      </c>
      <c r="B65" s="559" t="s">
        <v>115</v>
      </c>
      <c r="C65" s="534">
        <f>'приложение 4.1 '!C66</f>
        <v>0</v>
      </c>
      <c r="D65" s="283">
        <f>'приложение 4.1 '!D66</f>
        <v>0</v>
      </c>
      <c r="E65" s="283">
        <f>'приложение 4.1 '!E66</f>
        <v>0</v>
      </c>
      <c r="F65" s="283">
        <f>'приложение 4.1 '!F66</f>
        <v>0</v>
      </c>
      <c r="G65" s="284">
        <f>'приложение 4.1 '!G66</f>
        <v>0</v>
      </c>
    </row>
    <row r="66" spans="1:8" s="336" customFormat="1" ht="16.5" thickBot="1">
      <c r="A66" s="324" t="s">
        <v>255</v>
      </c>
      <c r="B66" s="560" t="s">
        <v>425</v>
      </c>
      <c r="C66" s="570">
        <f>'приложение 4.1 '!C67</f>
        <v>0</v>
      </c>
      <c r="D66" s="571">
        <f>'приложение 4.1 '!D67</f>
        <v>0</v>
      </c>
      <c r="E66" s="571">
        <f>'приложение 4.1 '!E67</f>
        <v>0</v>
      </c>
      <c r="F66" s="571">
        <f>'приложение 4.1 '!F67</f>
        <v>0</v>
      </c>
      <c r="G66" s="614">
        <f>'приложение 4.1 '!G67</f>
        <v>0</v>
      </c>
    </row>
    <row r="67" spans="1:8" s="336" customFormat="1">
      <c r="A67" s="320" t="s">
        <v>110</v>
      </c>
      <c r="B67" s="340" t="s">
        <v>109</v>
      </c>
      <c r="C67" s="539">
        <f>'приложение 4.1 '!C68</f>
        <v>0</v>
      </c>
      <c r="D67" s="337">
        <f>'приложение 4.1 '!D68</f>
        <v>0</v>
      </c>
      <c r="E67" s="337">
        <f>'приложение 4.1 '!E68</f>
        <v>0</v>
      </c>
      <c r="F67" s="337">
        <f>'приложение 4.1 '!F68</f>
        <v>0</v>
      </c>
      <c r="G67" s="615">
        <f>'приложение 4.1 '!G68</f>
        <v>0</v>
      </c>
    </row>
    <row r="68" spans="1:8" s="336" customFormat="1">
      <c r="A68" s="287"/>
      <c r="B68" s="559" t="s">
        <v>167</v>
      </c>
      <c r="C68" s="537">
        <f>'приложение 4.1 '!C69</f>
        <v>0</v>
      </c>
      <c r="D68" s="327">
        <f>'приложение 4.1 '!D69</f>
        <v>0</v>
      </c>
      <c r="E68" s="327">
        <f>'приложение 4.1 '!E69</f>
        <v>0</v>
      </c>
      <c r="F68" s="327">
        <f>'приложение 4.1 '!F69</f>
        <v>0</v>
      </c>
      <c r="G68" s="328">
        <f>'приложение 4.1 '!G69</f>
        <v>0</v>
      </c>
    </row>
    <row r="69" spans="1:8" s="336" customFormat="1">
      <c r="A69" s="323" t="s">
        <v>252</v>
      </c>
      <c r="B69" s="559" t="s">
        <v>426</v>
      </c>
      <c r="C69" s="534">
        <f>'приложение 4.1 '!C70</f>
        <v>0</v>
      </c>
      <c r="D69" s="283">
        <f>'приложение 4.1 '!D70</f>
        <v>0</v>
      </c>
      <c r="E69" s="283">
        <f>'приложение 4.1 '!E70</f>
        <v>0</v>
      </c>
      <c r="F69" s="283">
        <f>'приложение 4.1 '!F70</f>
        <v>0</v>
      </c>
      <c r="G69" s="284">
        <f>'приложение 4.1 '!G70</f>
        <v>0</v>
      </c>
    </row>
    <row r="70" spans="1:8" s="336" customFormat="1">
      <c r="A70" s="323" t="s">
        <v>253</v>
      </c>
      <c r="B70" s="559" t="s">
        <v>115</v>
      </c>
      <c r="C70" s="534">
        <f>'приложение 4.1 '!C71</f>
        <v>0</v>
      </c>
      <c r="D70" s="283">
        <f>'приложение 4.1 '!D71</f>
        <v>0</v>
      </c>
      <c r="E70" s="283">
        <f>'приложение 4.1 '!E71</f>
        <v>0</v>
      </c>
      <c r="F70" s="283">
        <f>'приложение 4.1 '!F71</f>
        <v>0</v>
      </c>
      <c r="G70" s="284">
        <f>'приложение 4.1 '!G71</f>
        <v>0</v>
      </c>
    </row>
    <row r="71" spans="1:8" s="336" customFormat="1" ht="16.5" thickBot="1">
      <c r="A71" s="324" t="s">
        <v>255</v>
      </c>
      <c r="B71" s="560" t="s">
        <v>425</v>
      </c>
      <c r="C71" s="535">
        <f>'приложение 4.1 '!C72</f>
        <v>0</v>
      </c>
      <c r="D71" s="285">
        <f>'приложение 4.1 '!D72</f>
        <v>0</v>
      </c>
      <c r="E71" s="285">
        <f>'приложение 4.1 '!E72</f>
        <v>0</v>
      </c>
      <c r="F71" s="285">
        <f>'приложение 4.1 '!F72</f>
        <v>0</v>
      </c>
      <c r="G71" s="286">
        <f>'приложение 4.1 '!G72</f>
        <v>0</v>
      </c>
    </row>
    <row r="72" spans="1:8" s="336" customFormat="1" ht="16.5" thickBot="1">
      <c r="A72" s="338" t="s">
        <v>111</v>
      </c>
      <c r="B72" s="565" t="s">
        <v>599</v>
      </c>
      <c r="C72" s="572">
        <f>'приложение 4.1 '!C73</f>
        <v>0</v>
      </c>
      <c r="D72" s="573">
        <f>'приложение 4.1 '!D73</f>
        <v>0</v>
      </c>
      <c r="E72" s="573">
        <f>'приложение 4.1 '!E73</f>
        <v>0</v>
      </c>
      <c r="F72" s="573">
        <f>'приложение 4.1 '!F73</f>
        <v>0</v>
      </c>
      <c r="G72" s="574">
        <f>'приложение 4.1 '!G73</f>
        <v>0</v>
      </c>
    </row>
    <row r="73" spans="1:8" s="336" customFormat="1">
      <c r="A73" s="320" t="s">
        <v>112</v>
      </c>
      <c r="B73" s="340" t="s">
        <v>429</v>
      </c>
      <c r="C73" s="533">
        <f>'приложение 4.1 '!C74</f>
        <v>0</v>
      </c>
      <c r="D73" s="321">
        <f>'приложение 4.1 '!D74</f>
        <v>0</v>
      </c>
      <c r="E73" s="321">
        <f>'приложение 4.1 '!E74</f>
        <v>0</v>
      </c>
      <c r="F73" s="321">
        <f>'приложение 4.1 '!F74</f>
        <v>0</v>
      </c>
      <c r="G73" s="322">
        <f>'приложение 4.1 '!G74</f>
        <v>0</v>
      </c>
    </row>
    <row r="74" spans="1:8" s="336" customFormat="1">
      <c r="A74" s="323" t="s">
        <v>252</v>
      </c>
      <c r="B74" s="559" t="s">
        <v>430</v>
      </c>
      <c r="C74" s="537">
        <f>'приложение 4.1 '!C75</f>
        <v>0</v>
      </c>
      <c r="D74" s="327">
        <f>'приложение 4.1 '!D75</f>
        <v>0</v>
      </c>
      <c r="E74" s="327">
        <f>'приложение 4.1 '!E75</f>
        <v>0</v>
      </c>
      <c r="F74" s="327">
        <f>'приложение 4.1 '!F75</f>
        <v>0</v>
      </c>
      <c r="G74" s="328">
        <f>'приложение 4.1 '!G75</f>
        <v>0</v>
      </c>
    </row>
    <row r="75" spans="1:8" s="336" customFormat="1" ht="16.5" thickBot="1">
      <c r="A75" s="324" t="s">
        <v>255</v>
      </c>
      <c r="B75" s="560" t="s">
        <v>445</v>
      </c>
      <c r="C75" s="538">
        <f>'приложение 4.1 '!C76</f>
        <v>0</v>
      </c>
      <c r="D75" s="329">
        <f>'приложение 4.1 '!D76</f>
        <v>0</v>
      </c>
      <c r="E75" s="329">
        <f>'приложение 4.1 '!E76</f>
        <v>0</v>
      </c>
      <c r="F75" s="329">
        <f>'приложение 4.1 '!F76</f>
        <v>0</v>
      </c>
      <c r="G75" s="330">
        <f>'приложение 4.1 '!G76</f>
        <v>0</v>
      </c>
    </row>
    <row r="76" spans="1:8" s="336" customFormat="1" ht="16.5" thickBot="1">
      <c r="A76" s="338" t="s">
        <v>151</v>
      </c>
      <c r="B76" s="565" t="s">
        <v>448</v>
      </c>
      <c r="C76" s="575">
        <f>'приложение 4.1 '!C77</f>
        <v>0</v>
      </c>
      <c r="D76" s="576">
        <f>'приложение 4.1 '!D77</f>
        <v>0</v>
      </c>
      <c r="E76" s="576">
        <f>'приложение 4.1 '!E77</f>
        <v>0</v>
      </c>
      <c r="F76" s="576">
        <f>'приложение 4.1 '!F77</f>
        <v>0</v>
      </c>
      <c r="G76" s="616">
        <f>'приложение 4.1 '!G77</f>
        <v>0</v>
      </c>
    </row>
    <row r="77" spans="1:8" s="336" customFormat="1">
      <c r="A77" s="320" t="s">
        <v>152</v>
      </c>
      <c r="B77" s="340" t="s">
        <v>165</v>
      </c>
      <c r="C77" s="593">
        <f>'приложение 4.1 '!C78</f>
        <v>11.366082</v>
      </c>
      <c r="D77" s="577">
        <f>'приложение 4.1 '!D78</f>
        <v>44.750319999999995</v>
      </c>
      <c r="E77" s="577">
        <f>'приложение 4.1 '!E78</f>
        <v>57.067484629999996</v>
      </c>
      <c r="F77" s="577">
        <f>'приложение 4.1 '!F78</f>
        <v>57.901544635</v>
      </c>
      <c r="G77" s="577">
        <f>'приложение 4.1 '!G78</f>
        <v>3.0090000000000003</v>
      </c>
      <c r="H77" s="612"/>
    </row>
    <row r="78" spans="1:8" s="336" customFormat="1" ht="16.5" thickBot="1">
      <c r="A78" s="288"/>
      <c r="B78" s="560" t="s">
        <v>115</v>
      </c>
      <c r="C78" s="535">
        <f>'приложение 4.1 '!C79</f>
        <v>0</v>
      </c>
      <c r="D78" s="285">
        <f>'приложение 4.1 '!D79</f>
        <v>0</v>
      </c>
      <c r="E78" s="285">
        <f>'приложение 4.1 '!E79</f>
        <v>0</v>
      </c>
      <c r="F78" s="285">
        <f>'приложение 4.1 '!F79</f>
        <v>0</v>
      </c>
      <c r="G78" s="286">
        <f>'приложение 4.1 '!G79</f>
        <v>0</v>
      </c>
    </row>
    <row r="79" spans="1:8" s="336" customFormat="1" ht="48" thickBot="1">
      <c r="A79" s="332" t="s">
        <v>152</v>
      </c>
      <c r="B79" s="339" t="s">
        <v>59</v>
      </c>
      <c r="C79" s="540">
        <f>'приложение 4.1 '!C80</f>
        <v>45.885801999999998</v>
      </c>
      <c r="D79" s="333">
        <f>'приложение 4.1 '!D80</f>
        <v>103.8931</v>
      </c>
      <c r="E79" s="333">
        <f>'приложение 4.1 '!E80</f>
        <v>122.49020103000001</v>
      </c>
      <c r="F79" s="333">
        <f>'приложение 4.1 '!F80</f>
        <v>127.72831603500001</v>
      </c>
      <c r="G79" s="334">
        <f>'приложение 4.1 '!G80</f>
        <v>90.86354</v>
      </c>
    </row>
    <row r="80" spans="1:8" s="336" customFormat="1" ht="48" thickBot="1">
      <c r="A80" s="332" t="s">
        <v>153</v>
      </c>
      <c r="B80" s="339" t="s">
        <v>398</v>
      </c>
      <c r="C80" s="663">
        <f>'приложение 4.1 '!C81</f>
        <v>46.195115400000006</v>
      </c>
      <c r="D80" s="664">
        <f>'приложение 4.1 '!D81</f>
        <v>90.283398899999995</v>
      </c>
      <c r="E80" s="664">
        <f>'приложение 4.1 '!E81</f>
        <v>106.76499248665</v>
      </c>
      <c r="F80" s="664">
        <f>'приложение 4.1 '!F81</f>
        <v>114.0386067483</v>
      </c>
      <c r="G80" s="665">
        <f>'приложение 4.1 '!G81</f>
        <v>65.97504544329999</v>
      </c>
    </row>
    <row r="81" spans="1:7" s="336" customFormat="1" ht="32.25" thickBot="1">
      <c r="A81" s="629"/>
      <c r="B81" s="630" t="s">
        <v>453</v>
      </c>
      <c r="C81" s="631">
        <f>'приложение 4.1 '!C82</f>
        <v>-0.30931340000000773</v>
      </c>
      <c r="D81" s="632">
        <f>'приложение 4.1 '!D82</f>
        <v>13.609701100000009</v>
      </c>
      <c r="E81" s="632">
        <f>'приложение 4.1 '!E82</f>
        <v>15.725208543350007</v>
      </c>
      <c r="F81" s="632">
        <f>'приложение 4.1 '!F82</f>
        <v>13.689709286700008</v>
      </c>
      <c r="G81" s="633">
        <f>'приложение 4.1 '!G82</f>
        <v>24.88849455670001</v>
      </c>
    </row>
    <row r="82" spans="1:7" s="336" customFormat="1" ht="16.5" thickBot="1">
      <c r="A82" s="341"/>
      <c r="B82" s="342"/>
      <c r="C82" s="566"/>
      <c r="D82" s="566"/>
      <c r="E82" s="566"/>
      <c r="F82" s="566"/>
      <c r="G82" s="566"/>
    </row>
    <row r="83" spans="1:7" s="336" customFormat="1">
      <c r="A83" s="343"/>
      <c r="B83" s="340" t="s">
        <v>113</v>
      </c>
      <c r="C83" s="539"/>
      <c r="D83" s="337"/>
      <c r="E83" s="337"/>
      <c r="F83" s="337"/>
      <c r="G83" s="615"/>
    </row>
    <row r="84" spans="1:7" s="336" customFormat="1">
      <c r="A84" s="323" t="s">
        <v>252</v>
      </c>
      <c r="B84" s="559" t="s">
        <v>114</v>
      </c>
      <c r="C84" s="534">
        <f>'приложение 4.1 '!C85</f>
        <v>1.691801399999999</v>
      </c>
      <c r="D84" s="283">
        <f>'приложение 4.1 '!D85</f>
        <v>18.590239200000006</v>
      </c>
      <c r="E84" s="283">
        <f>'приложение 4.1 '!E85</f>
        <v>32.651693799999997</v>
      </c>
      <c r="F84" s="283">
        <f>'приложение 4.1 '!F85</f>
        <v>38.832155799999995</v>
      </c>
      <c r="G84" s="284">
        <f>'приложение 4.1 '!G85</f>
        <v>38.895399070000011</v>
      </c>
    </row>
    <row r="85" spans="1:7" s="336" customFormat="1">
      <c r="A85" s="323" t="s">
        <v>255</v>
      </c>
      <c r="B85" s="559" t="s">
        <v>116</v>
      </c>
      <c r="C85" s="617"/>
      <c r="D85" s="618"/>
      <c r="E85" s="618"/>
      <c r="F85" s="618"/>
      <c r="G85" s="619"/>
    </row>
    <row r="86" spans="1:7" s="336" customFormat="1" ht="16.5" thickBot="1">
      <c r="A86" s="324" t="s">
        <v>128</v>
      </c>
      <c r="B86" s="560" t="s">
        <v>329</v>
      </c>
      <c r="C86" s="620"/>
      <c r="D86" s="621"/>
      <c r="E86" s="621"/>
      <c r="F86" s="621"/>
      <c r="G86" s="622"/>
    </row>
    <row r="88" spans="1:7">
      <c r="A88" s="611" t="s">
        <v>117</v>
      </c>
    </row>
  </sheetData>
  <customSheetViews>
    <customSheetView guid="{8313A758-6764-4FAF-B5C3-0AC63E11C07D}" scale="75" showPageBreaks="1" fitToPage="1" printArea="1" view="pageBreakPreview" topLeftCell="A58">
      <selection activeCell="H29" sqref="H29"/>
      <pageMargins left="0.70866141732283472" right="0.31496062992125984" top="0.74803149606299213" bottom="0.59055118110236227" header="0.31496062992125984" footer="0.31496062992125984"/>
      <pageSetup paperSize="9" scale="72" fitToHeight="0" orientation="portrait" r:id="rId1"/>
      <headerFooter alignWithMargins="0">
        <oddFooter>&amp;R&amp;P</oddFooter>
      </headerFooter>
    </customSheetView>
    <customSheetView guid="{39750778-B4CA-4A61-A93E-2C57443220F3}" scale="75" showPageBreaks="1" fitToPage="1" printArea="1" view="pageBreakPreview">
      <selection activeCell="O16" sqref="O16"/>
      <pageMargins left="0.70866141732283472" right="0.31496062992125984" top="0.74803149606299213" bottom="0.59055118110236227" header="0.31496062992125984" footer="0.31496062992125984"/>
      <pageSetup paperSize="9" scale="72" fitToHeight="0" orientation="portrait" r:id="rId2"/>
      <headerFooter alignWithMargins="0">
        <oddFooter>&amp;R&amp;P</oddFooter>
      </headerFooter>
    </customSheetView>
  </customSheetViews>
  <mergeCells count="8">
    <mergeCell ref="A6:G6"/>
    <mergeCell ref="A14:A16"/>
    <mergeCell ref="B14:B16"/>
    <mergeCell ref="C15:C16"/>
    <mergeCell ref="D15:D16"/>
    <mergeCell ref="E15:E16"/>
    <mergeCell ref="F15:F16"/>
    <mergeCell ref="G15:G16"/>
  </mergeCells>
  <pageMargins left="0.70866141732283472" right="0.31496062992125984" top="0.74803149606299213" bottom="0.59055118110236227" header="0.31496062992125984" footer="0.31496062992125984"/>
  <pageSetup paperSize="9" scale="72" fitToHeight="0" orientation="portrait" r:id="rId3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pageSetUpPr fitToPage="1"/>
  </sheetPr>
  <dimension ref="A1:U65"/>
  <sheetViews>
    <sheetView zoomScale="75" zoomScaleNormal="60" workbookViewId="0"/>
  </sheetViews>
  <sheetFormatPr defaultRowHeight="15.75"/>
  <cols>
    <col min="1" max="1" width="9" style="1"/>
    <col min="2" max="2" width="37.25" style="1" bestFit="1" customWidth="1"/>
    <col min="3" max="3" width="13.375" style="1" customWidth="1"/>
    <col min="4" max="4" width="9.25" style="1" bestFit="1" customWidth="1"/>
    <col min="5" max="5" width="12" style="51" customWidth="1"/>
    <col min="6" max="6" width="6.125" style="1" bestFit="1" customWidth="1"/>
    <col min="7" max="7" width="12" style="51" customWidth="1"/>
    <col min="8" max="8" width="6.125" style="1" bestFit="1" customWidth="1"/>
    <col min="9" max="9" width="12" style="51" customWidth="1"/>
    <col min="10" max="10" width="6.125" style="1" bestFit="1" customWidth="1"/>
    <col min="11" max="11" width="12" style="51" customWidth="1"/>
    <col min="12" max="12" width="6.125" style="1" bestFit="1" customWidth="1"/>
    <col min="13" max="13" width="12" style="51" customWidth="1"/>
    <col min="14" max="14" width="14" style="1" customWidth="1"/>
    <col min="15" max="15" width="12.25" style="1" customWidth="1"/>
    <col min="16" max="16" width="6.25" style="1" customWidth="1"/>
    <col min="17" max="18" width="14.375" style="1" customWidth="1"/>
    <col min="19" max="20" width="9.375" style="1" customWidth="1"/>
    <col min="21" max="21" width="18.875" style="1" customWidth="1"/>
    <col min="22" max="16384" width="9" style="1"/>
  </cols>
  <sheetData>
    <row r="1" spans="1:21">
      <c r="U1" s="3"/>
    </row>
    <row r="2" spans="1:21">
      <c r="U2" s="3" t="s">
        <v>239</v>
      </c>
    </row>
    <row r="3" spans="1:21">
      <c r="U3" s="3" t="s">
        <v>433</v>
      </c>
    </row>
    <row r="4" spans="1:21">
      <c r="U4" s="3" t="s">
        <v>178</v>
      </c>
    </row>
    <row r="5" spans="1:21">
      <c r="U5" s="3"/>
    </row>
    <row r="6" spans="1:21">
      <c r="A6" s="10"/>
    </row>
    <row r="7" spans="1:21">
      <c r="A7" s="853" t="s">
        <v>215</v>
      </c>
      <c r="B7" s="853"/>
      <c r="C7" s="853"/>
      <c r="D7" s="853"/>
      <c r="E7" s="853"/>
      <c r="F7" s="853"/>
      <c r="G7" s="853"/>
      <c r="H7" s="853"/>
      <c r="I7" s="853"/>
      <c r="J7" s="853"/>
      <c r="K7" s="853"/>
      <c r="L7" s="853"/>
      <c r="M7" s="853"/>
      <c r="N7" s="853"/>
      <c r="O7" s="853"/>
      <c r="P7" s="853"/>
      <c r="Q7" s="853"/>
      <c r="R7" s="853"/>
      <c r="S7" s="853"/>
      <c r="T7" s="853"/>
      <c r="U7" s="853"/>
    </row>
    <row r="8" spans="1:21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</row>
    <row r="9" spans="1:21">
      <c r="U9" s="3" t="s">
        <v>434</v>
      </c>
    </row>
    <row r="10" spans="1:21">
      <c r="U10" s="3" t="s">
        <v>435</v>
      </c>
    </row>
    <row r="11" spans="1:21">
      <c r="U11" s="3"/>
    </row>
    <row r="12" spans="1:21">
      <c r="U12" s="43" t="s">
        <v>171</v>
      </c>
    </row>
    <row r="13" spans="1:21">
      <c r="A13" s="10"/>
      <c r="U13" s="3" t="s">
        <v>172</v>
      </c>
    </row>
    <row r="14" spans="1:21">
      <c r="A14" s="10"/>
      <c r="U14" s="3" t="s">
        <v>173</v>
      </c>
    </row>
    <row r="15" spans="1:21" ht="16.5" thickBot="1"/>
    <row r="16" spans="1:21" ht="126" customHeight="1">
      <c r="A16" s="854" t="s">
        <v>266</v>
      </c>
      <c r="B16" s="857" t="s">
        <v>438</v>
      </c>
      <c r="C16" s="857" t="s">
        <v>316</v>
      </c>
      <c r="D16" s="857" t="s">
        <v>0</v>
      </c>
      <c r="E16" s="857"/>
      <c r="F16" s="857"/>
      <c r="G16" s="857"/>
      <c r="H16" s="857"/>
      <c r="I16" s="857"/>
      <c r="J16" s="857"/>
      <c r="K16" s="857"/>
      <c r="L16" s="857"/>
      <c r="M16" s="857"/>
      <c r="N16" s="864" t="s">
        <v>242</v>
      </c>
      <c r="O16" s="860" t="s">
        <v>243</v>
      </c>
      <c r="P16" s="867"/>
      <c r="Q16" s="867"/>
      <c r="R16" s="861"/>
      <c r="S16" s="860" t="s">
        <v>356</v>
      </c>
      <c r="T16" s="861"/>
      <c r="U16" s="868" t="s">
        <v>357</v>
      </c>
    </row>
    <row r="17" spans="1:21" ht="31.5" customHeight="1">
      <c r="A17" s="855"/>
      <c r="B17" s="858"/>
      <c r="C17" s="858"/>
      <c r="D17" s="858" t="s">
        <v>268</v>
      </c>
      <c r="E17" s="858"/>
      <c r="F17" s="858" t="s">
        <v>269</v>
      </c>
      <c r="G17" s="858"/>
      <c r="H17" s="858" t="s">
        <v>270</v>
      </c>
      <c r="I17" s="858"/>
      <c r="J17" s="858" t="s">
        <v>271</v>
      </c>
      <c r="K17" s="858"/>
      <c r="L17" s="858" t="s">
        <v>272</v>
      </c>
      <c r="M17" s="858"/>
      <c r="N17" s="865"/>
      <c r="O17" s="858" t="s">
        <v>93</v>
      </c>
      <c r="P17" s="858" t="s">
        <v>158</v>
      </c>
      <c r="Q17" s="858" t="s">
        <v>156</v>
      </c>
      <c r="R17" s="858"/>
      <c r="S17" s="862" t="s">
        <v>92</v>
      </c>
      <c r="T17" s="863"/>
      <c r="U17" s="869"/>
    </row>
    <row r="18" spans="1:21" ht="81.75" customHeight="1" thickBot="1">
      <c r="A18" s="856"/>
      <c r="B18" s="859"/>
      <c r="C18" s="859"/>
      <c r="D18" s="38" t="s">
        <v>313</v>
      </c>
      <c r="E18" s="38" t="s">
        <v>317</v>
      </c>
      <c r="F18" s="38" t="s">
        <v>273</v>
      </c>
      <c r="G18" s="38" t="s">
        <v>358</v>
      </c>
      <c r="H18" s="38" t="s">
        <v>273</v>
      </c>
      <c r="I18" s="38" t="s">
        <v>358</v>
      </c>
      <c r="J18" s="38" t="s">
        <v>273</v>
      </c>
      <c r="K18" s="38" t="s">
        <v>358</v>
      </c>
      <c r="L18" s="38" t="s">
        <v>273</v>
      </c>
      <c r="M18" s="38" t="s">
        <v>358</v>
      </c>
      <c r="N18" s="866"/>
      <c r="O18" s="859"/>
      <c r="P18" s="859"/>
      <c r="Q18" s="38" t="s">
        <v>155</v>
      </c>
      <c r="R18" s="38" t="s">
        <v>157</v>
      </c>
      <c r="S18" s="47" t="s">
        <v>244</v>
      </c>
      <c r="T18" s="47" t="s">
        <v>359</v>
      </c>
      <c r="U18" s="870"/>
    </row>
    <row r="19" spans="1:21">
      <c r="A19" s="24"/>
      <c r="B19" s="25" t="s">
        <v>439</v>
      </c>
      <c r="C19" s="25"/>
      <c r="D19" s="25"/>
      <c r="E19" s="31"/>
      <c r="F19" s="25"/>
      <c r="G19" s="25"/>
      <c r="H19" s="31"/>
      <c r="I19" s="31"/>
      <c r="J19" s="25"/>
      <c r="K19" s="25"/>
      <c r="L19" s="31"/>
      <c r="M19" s="31"/>
      <c r="N19" s="31"/>
      <c r="O19" s="31"/>
      <c r="P19" s="31"/>
      <c r="Q19" s="31"/>
      <c r="R19" s="31"/>
      <c r="S19" s="48"/>
      <c r="T19" s="48"/>
      <c r="U19" s="32"/>
    </row>
    <row r="20" spans="1:21" ht="31.5">
      <c r="A20" s="19" t="s">
        <v>252</v>
      </c>
      <c r="B20" s="18" t="s">
        <v>163</v>
      </c>
      <c r="C20" s="18"/>
      <c r="D20" s="18"/>
      <c r="E20" s="18"/>
      <c r="F20" s="18"/>
      <c r="G20" s="18"/>
      <c r="H20" s="18"/>
      <c r="I20" s="18"/>
      <c r="J20" s="18"/>
      <c r="K20" s="18"/>
      <c r="L20" s="5"/>
      <c r="M20" s="5"/>
      <c r="N20" s="5"/>
      <c r="O20" s="5"/>
      <c r="P20" s="5"/>
      <c r="Q20" s="5"/>
      <c r="R20" s="5"/>
      <c r="S20" s="23"/>
      <c r="T20" s="23"/>
      <c r="U20" s="6"/>
    </row>
    <row r="21" spans="1:21" ht="31.5">
      <c r="A21" s="39" t="s">
        <v>253</v>
      </c>
      <c r="B21" s="18" t="s">
        <v>160</v>
      </c>
      <c r="C21" s="18"/>
      <c r="D21" s="18"/>
      <c r="E21" s="18"/>
      <c r="F21" s="18"/>
      <c r="G21" s="18"/>
      <c r="H21" s="18"/>
      <c r="I21" s="18"/>
      <c r="J21" s="18"/>
      <c r="K21" s="18"/>
      <c r="L21" s="5"/>
      <c r="M21" s="5"/>
      <c r="N21" s="5"/>
      <c r="O21" s="5"/>
      <c r="P21" s="5"/>
      <c r="Q21" s="5"/>
      <c r="R21" s="5"/>
      <c r="S21" s="23"/>
      <c r="T21" s="23"/>
      <c r="U21" s="6"/>
    </row>
    <row r="22" spans="1:21">
      <c r="A22" s="12">
        <v>1</v>
      </c>
      <c r="B22" s="4" t="s">
        <v>440</v>
      </c>
      <c r="C22" s="4"/>
      <c r="D22" s="4"/>
      <c r="E22" s="5"/>
      <c r="F22" s="4"/>
      <c r="G22" s="5"/>
      <c r="H22" s="4"/>
      <c r="I22" s="5"/>
      <c r="J22" s="4"/>
      <c r="K22" s="5"/>
      <c r="L22" s="5"/>
      <c r="M22" s="5"/>
      <c r="N22" s="5"/>
      <c r="O22" s="5"/>
      <c r="P22" s="5"/>
      <c r="Q22" s="5"/>
      <c r="R22" s="5"/>
      <c r="S22" s="23"/>
      <c r="T22" s="23"/>
      <c r="U22" s="6"/>
    </row>
    <row r="23" spans="1:21">
      <c r="A23" s="12">
        <v>2</v>
      </c>
      <c r="B23" s="4" t="s">
        <v>442</v>
      </c>
      <c r="C23" s="4"/>
      <c r="D23" s="4"/>
      <c r="E23" s="5"/>
      <c r="F23" s="4"/>
      <c r="G23" s="5"/>
      <c r="H23" s="4"/>
      <c r="I23" s="5"/>
      <c r="J23" s="4"/>
      <c r="K23" s="5"/>
      <c r="L23" s="5"/>
      <c r="M23" s="5"/>
      <c r="N23" s="5"/>
      <c r="O23" s="5"/>
      <c r="P23" s="5"/>
      <c r="Q23" s="5"/>
      <c r="R23" s="5"/>
      <c r="S23" s="23"/>
      <c r="T23" s="23"/>
      <c r="U23" s="6"/>
    </row>
    <row r="24" spans="1:21">
      <c r="A24" s="33" t="s">
        <v>441</v>
      </c>
      <c r="B24" s="7"/>
      <c r="C24" s="7"/>
      <c r="D24" s="7"/>
      <c r="E24" s="34"/>
      <c r="F24" s="7"/>
      <c r="G24" s="34"/>
      <c r="H24" s="7"/>
      <c r="I24" s="34"/>
      <c r="J24" s="7"/>
      <c r="K24" s="34"/>
      <c r="L24" s="34"/>
      <c r="M24" s="34"/>
      <c r="N24" s="34"/>
      <c r="O24" s="34"/>
      <c r="P24" s="34"/>
      <c r="Q24" s="34"/>
      <c r="R24" s="34"/>
      <c r="S24" s="49"/>
      <c r="T24" s="49"/>
      <c r="U24" s="35"/>
    </row>
    <row r="25" spans="1:21" ht="31.5">
      <c r="A25" s="37" t="s">
        <v>254</v>
      </c>
      <c r="B25" s="36" t="s">
        <v>446</v>
      </c>
      <c r="C25" s="36"/>
      <c r="D25" s="7"/>
      <c r="E25" s="34"/>
      <c r="F25" s="7"/>
      <c r="G25" s="34"/>
      <c r="H25" s="7"/>
      <c r="I25" s="34"/>
      <c r="J25" s="7"/>
      <c r="K25" s="34"/>
      <c r="L25" s="34"/>
      <c r="M25" s="34"/>
      <c r="N25" s="34"/>
      <c r="O25" s="34"/>
      <c r="P25" s="34"/>
      <c r="Q25" s="34"/>
      <c r="R25" s="34"/>
      <c r="S25" s="49"/>
      <c r="T25" s="49"/>
      <c r="U25" s="35"/>
    </row>
    <row r="26" spans="1:21">
      <c r="A26" s="12">
        <v>1</v>
      </c>
      <c r="B26" s="4" t="s">
        <v>440</v>
      </c>
      <c r="C26" s="7"/>
      <c r="D26" s="7"/>
      <c r="E26" s="34"/>
      <c r="F26" s="7"/>
      <c r="G26" s="34"/>
      <c r="H26" s="7"/>
      <c r="I26" s="34"/>
      <c r="J26" s="7"/>
      <c r="K26" s="34"/>
      <c r="L26" s="34"/>
      <c r="M26" s="34"/>
      <c r="N26" s="34"/>
      <c r="O26" s="34"/>
      <c r="P26" s="34"/>
      <c r="Q26" s="34"/>
      <c r="R26" s="34"/>
      <c r="S26" s="49"/>
      <c r="T26" s="49"/>
      <c r="U26" s="35"/>
    </row>
    <row r="27" spans="1:21">
      <c r="A27" s="12">
        <v>2</v>
      </c>
      <c r="B27" s="4" t="s">
        <v>442</v>
      </c>
      <c r="C27" s="7"/>
      <c r="D27" s="7"/>
      <c r="E27" s="34"/>
      <c r="F27" s="7"/>
      <c r="G27" s="34"/>
      <c r="H27" s="7"/>
      <c r="I27" s="34"/>
      <c r="J27" s="7"/>
      <c r="K27" s="34"/>
      <c r="L27" s="34"/>
      <c r="M27" s="34"/>
      <c r="N27" s="34"/>
      <c r="O27" s="34"/>
      <c r="P27" s="34"/>
      <c r="Q27" s="34"/>
      <c r="R27" s="34"/>
      <c r="S27" s="49"/>
      <c r="T27" s="49"/>
      <c r="U27" s="35"/>
    </row>
    <row r="28" spans="1:21">
      <c r="A28" s="33" t="s">
        <v>441</v>
      </c>
      <c r="B28" s="7"/>
      <c r="C28" s="7"/>
      <c r="D28" s="7"/>
      <c r="E28" s="34"/>
      <c r="F28" s="7"/>
      <c r="G28" s="34"/>
      <c r="H28" s="7"/>
      <c r="I28" s="34"/>
      <c r="J28" s="7"/>
      <c r="K28" s="34"/>
      <c r="L28" s="34"/>
      <c r="M28" s="34"/>
      <c r="N28" s="34"/>
      <c r="O28" s="34"/>
      <c r="P28" s="34"/>
      <c r="Q28" s="34"/>
      <c r="R28" s="34"/>
      <c r="S28" s="49"/>
      <c r="T28" s="49"/>
      <c r="U28" s="35"/>
    </row>
    <row r="29" spans="1:21" ht="31.5">
      <c r="A29" s="37" t="s">
        <v>265</v>
      </c>
      <c r="B29" s="36" t="s">
        <v>161</v>
      </c>
      <c r="C29" s="36"/>
      <c r="D29" s="7"/>
      <c r="E29" s="34"/>
      <c r="F29" s="7"/>
      <c r="G29" s="34"/>
      <c r="H29" s="7"/>
      <c r="I29" s="34"/>
      <c r="J29" s="7"/>
      <c r="K29" s="34"/>
      <c r="L29" s="34"/>
      <c r="M29" s="34"/>
      <c r="N29" s="34"/>
      <c r="O29" s="34"/>
      <c r="P29" s="34"/>
      <c r="Q29" s="34"/>
      <c r="R29" s="34"/>
      <c r="S29" s="49"/>
      <c r="T29" s="49"/>
      <c r="U29" s="35"/>
    </row>
    <row r="30" spans="1:21">
      <c r="A30" s="33">
        <v>1</v>
      </c>
      <c r="B30" s="7" t="s">
        <v>440</v>
      </c>
      <c r="C30" s="7"/>
      <c r="D30" s="7"/>
      <c r="E30" s="34"/>
      <c r="F30" s="7"/>
      <c r="G30" s="34"/>
      <c r="H30" s="7"/>
      <c r="I30" s="34"/>
      <c r="J30" s="7"/>
      <c r="K30" s="34"/>
      <c r="L30" s="34"/>
      <c r="M30" s="34"/>
      <c r="N30" s="34"/>
      <c r="O30" s="34"/>
      <c r="P30" s="34"/>
      <c r="Q30" s="34"/>
      <c r="R30" s="34"/>
      <c r="S30" s="49"/>
      <c r="T30" s="49"/>
      <c r="U30" s="35"/>
    </row>
    <row r="31" spans="1:21">
      <c r="A31" s="33">
        <v>2</v>
      </c>
      <c r="B31" s="7" t="s">
        <v>442</v>
      </c>
      <c r="C31" s="7"/>
      <c r="D31" s="7"/>
      <c r="E31" s="34"/>
      <c r="F31" s="7"/>
      <c r="G31" s="34"/>
      <c r="H31" s="7"/>
      <c r="I31" s="34"/>
      <c r="J31" s="7"/>
      <c r="K31" s="34"/>
      <c r="L31" s="34"/>
      <c r="M31" s="34"/>
      <c r="N31" s="34"/>
      <c r="O31" s="34"/>
      <c r="P31" s="34"/>
      <c r="Q31" s="34"/>
      <c r="R31" s="34"/>
      <c r="S31" s="49"/>
      <c r="T31" s="49"/>
      <c r="U31" s="35"/>
    </row>
    <row r="32" spans="1:21">
      <c r="A32" s="33" t="s">
        <v>441</v>
      </c>
      <c r="B32" s="7"/>
      <c r="C32" s="7"/>
      <c r="D32" s="7"/>
      <c r="E32" s="34"/>
      <c r="F32" s="7"/>
      <c r="G32" s="34"/>
      <c r="H32" s="7"/>
      <c r="I32" s="34"/>
      <c r="J32" s="7"/>
      <c r="K32" s="34"/>
      <c r="L32" s="34"/>
      <c r="M32" s="34"/>
      <c r="N32" s="34"/>
      <c r="O32" s="34"/>
      <c r="P32" s="34"/>
      <c r="Q32" s="34"/>
      <c r="R32" s="34"/>
      <c r="S32" s="49"/>
      <c r="T32" s="49"/>
      <c r="U32" s="35"/>
    </row>
    <row r="33" spans="1:21" ht="47.25">
      <c r="A33" s="37" t="s">
        <v>280</v>
      </c>
      <c r="B33" s="36" t="s">
        <v>162</v>
      </c>
      <c r="C33" s="7"/>
      <c r="D33" s="7"/>
      <c r="E33" s="34"/>
      <c r="F33" s="7"/>
      <c r="G33" s="34"/>
      <c r="H33" s="7"/>
      <c r="I33" s="34"/>
      <c r="J33" s="7"/>
      <c r="K33" s="34"/>
      <c r="L33" s="34"/>
      <c r="M33" s="34"/>
      <c r="N33" s="34"/>
      <c r="O33" s="34"/>
      <c r="P33" s="34"/>
      <c r="Q33" s="34"/>
      <c r="R33" s="34"/>
      <c r="S33" s="49"/>
      <c r="T33" s="49"/>
      <c r="U33" s="35"/>
    </row>
    <row r="34" spans="1:21">
      <c r="A34" s="33">
        <v>1</v>
      </c>
      <c r="B34" s="7" t="s">
        <v>440</v>
      </c>
      <c r="C34" s="7"/>
      <c r="D34" s="7"/>
      <c r="E34" s="34"/>
      <c r="F34" s="7"/>
      <c r="G34" s="34"/>
      <c r="H34" s="7"/>
      <c r="I34" s="34"/>
      <c r="J34" s="7"/>
      <c r="K34" s="34"/>
      <c r="L34" s="34"/>
      <c r="M34" s="34"/>
      <c r="N34" s="34"/>
      <c r="O34" s="34"/>
      <c r="P34" s="34"/>
      <c r="Q34" s="34"/>
      <c r="R34" s="34"/>
      <c r="S34" s="49"/>
      <c r="T34" s="49"/>
      <c r="U34" s="35"/>
    </row>
    <row r="35" spans="1:21">
      <c r="A35" s="33">
        <v>2</v>
      </c>
      <c r="B35" s="7" t="s">
        <v>442</v>
      </c>
      <c r="C35" s="7"/>
      <c r="D35" s="7"/>
      <c r="E35" s="34"/>
      <c r="F35" s="7"/>
      <c r="G35" s="34"/>
      <c r="H35" s="7"/>
      <c r="I35" s="34"/>
      <c r="J35" s="7"/>
      <c r="K35" s="34"/>
      <c r="L35" s="34"/>
      <c r="M35" s="34"/>
      <c r="N35" s="34"/>
      <c r="O35" s="34"/>
      <c r="P35" s="34"/>
      <c r="Q35" s="34"/>
      <c r="R35" s="34"/>
      <c r="S35" s="49"/>
      <c r="T35" s="49"/>
      <c r="U35" s="35"/>
    </row>
    <row r="36" spans="1:21">
      <c r="A36" s="33" t="s">
        <v>441</v>
      </c>
      <c r="B36" s="7"/>
      <c r="C36" s="7"/>
      <c r="D36" s="7"/>
      <c r="E36" s="34"/>
      <c r="F36" s="7"/>
      <c r="G36" s="34"/>
      <c r="H36" s="7"/>
      <c r="I36" s="34"/>
      <c r="J36" s="7"/>
      <c r="K36" s="34"/>
      <c r="L36" s="34"/>
      <c r="M36" s="34"/>
      <c r="N36" s="34"/>
      <c r="O36" s="34"/>
      <c r="P36" s="34"/>
      <c r="Q36" s="34"/>
      <c r="R36" s="34"/>
      <c r="S36" s="49"/>
      <c r="T36" s="49"/>
      <c r="U36" s="35"/>
    </row>
    <row r="37" spans="1:21">
      <c r="A37" s="19" t="s">
        <v>255</v>
      </c>
      <c r="B37" s="18" t="s">
        <v>89</v>
      </c>
      <c r="C37" s="18"/>
      <c r="D37" s="18"/>
      <c r="E37" s="18"/>
      <c r="F37" s="18"/>
      <c r="G37" s="18"/>
      <c r="H37" s="18"/>
      <c r="I37" s="18"/>
      <c r="J37" s="18"/>
      <c r="K37" s="18"/>
      <c r="L37" s="5"/>
      <c r="M37" s="5"/>
      <c r="N37" s="5"/>
      <c r="O37" s="5"/>
      <c r="P37" s="5"/>
      <c r="Q37" s="5"/>
      <c r="R37" s="5"/>
      <c r="S37" s="23"/>
      <c r="T37" s="23"/>
      <c r="U37" s="6"/>
    </row>
    <row r="38" spans="1:21" ht="31.5">
      <c r="A38" s="39" t="s">
        <v>256</v>
      </c>
      <c r="B38" s="18" t="s">
        <v>160</v>
      </c>
      <c r="C38" s="18"/>
      <c r="D38" s="18"/>
      <c r="E38" s="18"/>
      <c r="F38" s="18"/>
      <c r="G38" s="18"/>
      <c r="H38" s="18"/>
      <c r="I38" s="18"/>
      <c r="J38" s="18"/>
      <c r="K38" s="18"/>
      <c r="L38" s="5"/>
      <c r="M38" s="5"/>
      <c r="N38" s="5"/>
      <c r="O38" s="5"/>
      <c r="P38" s="5"/>
      <c r="Q38" s="5"/>
      <c r="R38" s="5"/>
      <c r="S38" s="23"/>
      <c r="T38" s="23"/>
      <c r="U38" s="6"/>
    </row>
    <row r="39" spans="1:21">
      <c r="A39" s="12">
        <v>1</v>
      </c>
      <c r="B39" s="4" t="s">
        <v>440</v>
      </c>
      <c r="C39" s="18"/>
      <c r="D39" s="18"/>
      <c r="E39" s="18"/>
      <c r="F39" s="18"/>
      <c r="G39" s="18"/>
      <c r="H39" s="18"/>
      <c r="I39" s="18"/>
      <c r="J39" s="18"/>
      <c r="K39" s="18"/>
      <c r="L39" s="5"/>
      <c r="M39" s="5"/>
      <c r="N39" s="5"/>
      <c r="O39" s="5"/>
      <c r="P39" s="5"/>
      <c r="Q39" s="5"/>
      <c r="R39" s="5"/>
      <c r="S39" s="23"/>
      <c r="T39" s="23"/>
      <c r="U39" s="6"/>
    </row>
    <row r="40" spans="1:21">
      <c r="A40" s="12">
        <v>2</v>
      </c>
      <c r="B40" s="4" t="s">
        <v>442</v>
      </c>
      <c r="C40" s="18"/>
      <c r="D40" s="18"/>
      <c r="E40" s="18"/>
      <c r="F40" s="18"/>
      <c r="G40" s="18"/>
      <c r="H40" s="18"/>
      <c r="I40" s="18"/>
      <c r="J40" s="18"/>
      <c r="K40" s="18"/>
      <c r="L40" s="5"/>
      <c r="M40" s="5"/>
      <c r="N40" s="5"/>
      <c r="O40" s="5"/>
      <c r="P40" s="5"/>
      <c r="Q40" s="5"/>
      <c r="R40" s="5"/>
      <c r="S40" s="23"/>
      <c r="T40" s="23"/>
      <c r="U40" s="6"/>
    </row>
    <row r="41" spans="1:21">
      <c r="A41" s="33" t="s">
        <v>441</v>
      </c>
      <c r="B41" s="7"/>
      <c r="C41" s="18"/>
      <c r="D41" s="18"/>
      <c r="E41" s="18"/>
      <c r="F41" s="18"/>
      <c r="G41" s="18"/>
      <c r="H41" s="18"/>
      <c r="I41" s="18"/>
      <c r="J41" s="18"/>
      <c r="K41" s="18"/>
      <c r="L41" s="5"/>
      <c r="M41" s="5"/>
      <c r="N41" s="5"/>
      <c r="O41" s="5"/>
      <c r="P41" s="5"/>
      <c r="Q41" s="5"/>
      <c r="R41" s="5"/>
      <c r="S41" s="23"/>
      <c r="T41" s="23"/>
      <c r="U41" s="6"/>
    </row>
    <row r="42" spans="1:21">
      <c r="A42" s="44" t="s">
        <v>257</v>
      </c>
      <c r="B42" s="45" t="s">
        <v>174</v>
      </c>
      <c r="C42" s="18"/>
      <c r="D42" s="18"/>
      <c r="E42" s="18"/>
      <c r="F42" s="18"/>
      <c r="G42" s="18"/>
      <c r="H42" s="18"/>
      <c r="I42" s="18"/>
      <c r="J42" s="18"/>
      <c r="K42" s="18"/>
      <c r="L42" s="5"/>
      <c r="M42" s="5"/>
      <c r="N42" s="5"/>
      <c r="O42" s="5"/>
      <c r="P42" s="5"/>
      <c r="Q42" s="5"/>
      <c r="R42" s="5"/>
      <c r="S42" s="23"/>
      <c r="T42" s="23"/>
      <c r="U42" s="6"/>
    </row>
    <row r="43" spans="1:21">
      <c r="A43" s="12">
        <v>1</v>
      </c>
      <c r="B43" s="4" t="s">
        <v>440</v>
      </c>
      <c r="C43" s="18"/>
      <c r="D43" s="18"/>
      <c r="E43" s="18"/>
      <c r="F43" s="18"/>
      <c r="G43" s="18"/>
      <c r="H43" s="18"/>
      <c r="I43" s="18"/>
      <c r="J43" s="18"/>
      <c r="K43" s="18"/>
      <c r="L43" s="5"/>
      <c r="M43" s="5"/>
      <c r="N43" s="5"/>
      <c r="O43" s="5"/>
      <c r="P43" s="5"/>
      <c r="Q43" s="5"/>
      <c r="R43" s="5"/>
      <c r="S43" s="23"/>
      <c r="T43" s="23"/>
      <c r="U43" s="6"/>
    </row>
    <row r="44" spans="1:21">
      <c r="A44" s="12"/>
      <c r="B44" s="4" t="s">
        <v>168</v>
      </c>
      <c r="C44" s="18"/>
      <c r="D44" s="18"/>
      <c r="E44" s="18"/>
      <c r="F44" s="18"/>
      <c r="G44" s="18"/>
      <c r="H44" s="18"/>
      <c r="I44" s="18"/>
      <c r="J44" s="18"/>
      <c r="K44" s="18"/>
      <c r="L44" s="5"/>
      <c r="M44" s="5"/>
      <c r="N44" s="5"/>
      <c r="O44" s="5"/>
      <c r="P44" s="5"/>
      <c r="Q44" s="5"/>
      <c r="R44" s="5"/>
      <c r="S44" s="23"/>
      <c r="T44" s="23"/>
      <c r="U44" s="6"/>
    </row>
    <row r="45" spans="1:21">
      <c r="A45" s="12">
        <v>2</v>
      </c>
      <c r="B45" s="4" t="s">
        <v>442</v>
      </c>
      <c r="C45" s="18"/>
      <c r="D45" s="18"/>
      <c r="E45" s="18"/>
      <c r="F45" s="18"/>
      <c r="G45" s="18"/>
      <c r="H45" s="18"/>
      <c r="I45" s="18"/>
      <c r="J45" s="18"/>
      <c r="K45" s="18"/>
      <c r="L45" s="5"/>
      <c r="M45" s="5"/>
      <c r="N45" s="5"/>
      <c r="O45" s="5"/>
      <c r="P45" s="5"/>
      <c r="Q45" s="5"/>
      <c r="R45" s="5"/>
      <c r="S45" s="23"/>
      <c r="T45" s="23"/>
      <c r="U45" s="6"/>
    </row>
    <row r="46" spans="1:21">
      <c r="A46" s="12"/>
      <c r="B46" s="4" t="s">
        <v>168</v>
      </c>
      <c r="C46" s="4"/>
      <c r="D46" s="4"/>
      <c r="E46" s="5"/>
      <c r="F46" s="4"/>
      <c r="G46" s="5"/>
      <c r="H46" s="4"/>
      <c r="I46" s="5"/>
      <c r="J46" s="4"/>
      <c r="K46" s="5"/>
      <c r="L46" s="5"/>
      <c r="M46" s="5"/>
      <c r="N46" s="5"/>
      <c r="O46" s="5"/>
      <c r="P46" s="5"/>
      <c r="Q46" s="5"/>
      <c r="R46" s="5"/>
      <c r="S46" s="23"/>
      <c r="T46" s="23"/>
      <c r="U46" s="6"/>
    </row>
    <row r="47" spans="1:21">
      <c r="A47" s="12" t="s">
        <v>441</v>
      </c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23"/>
      <c r="T47" s="23"/>
      <c r="U47" s="6"/>
    </row>
    <row r="48" spans="1:21">
      <c r="A48" s="872" t="s">
        <v>113</v>
      </c>
      <c r="B48" s="873"/>
      <c r="C48" s="7"/>
      <c r="D48" s="7"/>
      <c r="E48" s="34"/>
      <c r="F48" s="7"/>
      <c r="G48" s="34"/>
      <c r="H48" s="7"/>
      <c r="I48" s="34"/>
      <c r="J48" s="7"/>
      <c r="K48" s="34"/>
      <c r="L48" s="34"/>
      <c r="M48" s="34"/>
      <c r="N48" s="34"/>
      <c r="O48" s="34"/>
      <c r="P48" s="34"/>
      <c r="Q48" s="34"/>
      <c r="R48" s="34"/>
      <c r="S48" s="49"/>
      <c r="T48" s="49"/>
      <c r="U48" s="35"/>
    </row>
    <row r="49" spans="1:21" ht="31.5">
      <c r="A49" s="37"/>
      <c r="B49" s="36" t="s">
        <v>159</v>
      </c>
      <c r="C49" s="36"/>
      <c r="D49" s="7"/>
      <c r="E49" s="34"/>
      <c r="F49" s="7"/>
      <c r="G49" s="34"/>
      <c r="H49" s="7"/>
      <c r="I49" s="34"/>
      <c r="J49" s="7"/>
      <c r="K49" s="34"/>
      <c r="L49" s="34"/>
      <c r="M49" s="34"/>
      <c r="N49" s="34"/>
      <c r="O49" s="34"/>
      <c r="P49" s="34"/>
      <c r="Q49" s="34"/>
      <c r="R49" s="34"/>
      <c r="S49" s="49"/>
      <c r="T49" s="49"/>
      <c r="U49" s="35"/>
    </row>
    <row r="50" spans="1:21">
      <c r="A50" s="33">
        <v>1</v>
      </c>
      <c r="B50" s="7" t="s">
        <v>440</v>
      </c>
      <c r="C50" s="7"/>
      <c r="D50" s="7"/>
      <c r="E50" s="34"/>
      <c r="F50" s="7"/>
      <c r="G50" s="34"/>
      <c r="H50" s="7"/>
      <c r="I50" s="34"/>
      <c r="J50" s="7"/>
      <c r="K50" s="34"/>
      <c r="L50" s="34"/>
      <c r="M50" s="34"/>
      <c r="N50" s="34"/>
      <c r="O50" s="34"/>
      <c r="P50" s="34"/>
      <c r="Q50" s="34"/>
      <c r="R50" s="34"/>
      <c r="S50" s="49"/>
      <c r="T50" s="49"/>
      <c r="U50" s="35"/>
    </row>
    <row r="51" spans="1:21">
      <c r="A51" s="33">
        <v>2</v>
      </c>
      <c r="B51" s="7" t="s">
        <v>442</v>
      </c>
      <c r="C51" s="7"/>
      <c r="D51" s="7"/>
      <c r="E51" s="34"/>
      <c r="F51" s="7"/>
      <c r="G51" s="34"/>
      <c r="H51" s="7"/>
      <c r="I51" s="34"/>
      <c r="J51" s="7"/>
      <c r="K51" s="34"/>
      <c r="L51" s="34"/>
      <c r="M51" s="34"/>
      <c r="N51" s="34"/>
      <c r="O51" s="34"/>
      <c r="P51" s="34"/>
      <c r="Q51" s="34"/>
      <c r="R51" s="34"/>
      <c r="S51" s="49"/>
      <c r="T51" s="49"/>
      <c r="U51" s="35"/>
    </row>
    <row r="52" spans="1:21" ht="16.5" thickBot="1">
      <c r="A52" s="28" t="s">
        <v>441</v>
      </c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50"/>
      <c r="T52" s="50"/>
      <c r="U52" s="30"/>
    </row>
    <row r="53" spans="1:21">
      <c r="A53" s="26"/>
      <c r="B53" s="26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</row>
    <row r="54" spans="1:21">
      <c r="A54" s="26"/>
      <c r="B54" s="874" t="s">
        <v>315</v>
      </c>
      <c r="C54" s="874"/>
      <c r="D54" s="874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</row>
    <row r="55" spans="1:21">
      <c r="A55" s="26"/>
      <c r="B55" s="27" t="s">
        <v>314</v>
      </c>
      <c r="C55" s="22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</row>
    <row r="56" spans="1:21">
      <c r="A56" s="26"/>
      <c r="B56" s="874" t="s">
        <v>410</v>
      </c>
      <c r="C56" s="874"/>
      <c r="D56" s="874"/>
      <c r="E56" s="874"/>
      <c r="F56" s="874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</row>
    <row r="57" spans="1:21">
      <c r="A57" s="20"/>
      <c r="B57" s="1" t="s">
        <v>214</v>
      </c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</row>
    <row r="58" spans="1:21">
      <c r="A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</row>
    <row r="59" spans="1:21">
      <c r="A59" s="20"/>
      <c r="B59" s="871" t="s">
        <v>1</v>
      </c>
      <c r="C59" s="871"/>
      <c r="D59" s="871"/>
      <c r="E59" s="871"/>
      <c r="F59" s="871"/>
      <c r="G59" s="871"/>
      <c r="H59" s="871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</row>
    <row r="60" spans="1:21">
      <c r="A60" s="20"/>
      <c r="B60" s="8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</row>
    <row r="61" spans="1:21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</row>
    <row r="62" spans="1:21">
      <c r="A62" s="9"/>
    </row>
    <row r="63" spans="1:21">
      <c r="A63" s="13"/>
      <c r="C63" s="14"/>
      <c r="G63" s="21"/>
      <c r="H63" s="15"/>
      <c r="I63" s="21"/>
    </row>
    <row r="64" spans="1:21">
      <c r="D64" s="17"/>
      <c r="G64" s="16"/>
      <c r="I64" s="16"/>
      <c r="J64" s="16"/>
      <c r="K64" s="16"/>
      <c r="M64" s="21"/>
      <c r="N64" s="21"/>
      <c r="O64" s="21"/>
      <c r="P64" s="21"/>
      <c r="Q64" s="21"/>
      <c r="R64" s="21"/>
      <c r="S64" s="21"/>
      <c r="T64" s="21"/>
      <c r="U64" s="15"/>
    </row>
    <row r="65" spans="1:9">
      <c r="A65" s="11"/>
      <c r="D65" s="10"/>
      <c r="I65" s="46"/>
    </row>
  </sheetData>
  <customSheetViews>
    <customSheetView guid="{4F1CD1AE-56BF-481C-B46D-882B53F60A62}" scale="75" fitToPage="1" state="hidden" showRuler="0">
      <pageMargins left="0.7" right="0.7" top="0.75" bottom="0.75" header="0.3" footer="0.3"/>
      <pageSetup paperSize="9" scale="40" orientation="landscape" r:id="rId1"/>
      <headerFooter alignWithMargins="0"/>
    </customSheetView>
    <customSheetView guid="{7DF0696A-AEA3-4F0A-B537-6A75D5770C28}" scale="75" fitToPage="1" state="hidden" showRuler="0">
      <pageMargins left="0.7" right="0.7" top="0.75" bottom="0.75" header="0.3" footer="0.3"/>
      <pageSetup paperSize="9" scale="40" orientation="landscape" r:id="rId2"/>
      <headerFooter alignWithMargins="0"/>
    </customSheetView>
    <customSheetView guid="{D1234401-B92E-47A8-88CA-60CCC5D8F15E}" scale="75" fitToPage="1" state="hidden">
      <pageMargins left="0.7" right="0.7" top="0.75" bottom="0.75" header="0.3" footer="0.3"/>
      <pageSetup paperSize="9" scale="40" orientation="landscape" r:id="rId3"/>
    </customSheetView>
    <customSheetView guid="{7480D686-972F-4793-95C6-3D9ED1E1ADD0}" scale="75" fitToPage="1" state="hidden" showRuler="0">
      <pageMargins left="0.7" right="0.7" top="0.75" bottom="0.75" header="0.3" footer="0.3"/>
      <pageSetup paperSize="9" scale="40" orientation="landscape" r:id="rId4"/>
      <headerFooter alignWithMargins="0"/>
    </customSheetView>
    <customSheetView guid="{1D7396F8-559A-4DD5-B412-CAD3B9FC6EB9}" scale="75" fitToPage="1" state="hidden" showRuler="0">
      <pageMargins left="0.7" right="0.7" top="0.75" bottom="0.75" header="0.3" footer="0.3"/>
      <pageSetup paperSize="9" scale="40" orientation="landscape" r:id="rId5"/>
      <headerFooter alignWithMargins="0"/>
    </customSheetView>
    <customSheetView guid="{EC03C00D-47BF-4C61-AC40-7967444A0F5A}" scale="75" fitToPage="1" state="hidden" showRuler="0">
      <pageMargins left="0.7" right="0.7" top="0.75" bottom="0.75" header="0.3" footer="0.3"/>
      <pageSetup paperSize="9" scale="40" orientation="landscape" r:id="rId6"/>
      <headerFooter alignWithMargins="0"/>
    </customSheetView>
    <customSheetView guid="{8313A758-6764-4FAF-B5C3-0AC63E11C07D}" scale="75" fitToPage="1" state="hidden">
      <pageMargins left="0.7" right="0.7" top="0.75" bottom="0.75" header="0.3" footer="0.3"/>
      <pageSetup paperSize="9" scale="40" orientation="landscape" r:id="rId7"/>
    </customSheetView>
    <customSheetView guid="{39750778-B4CA-4A61-A93E-2C57443220F3}" scale="75" fitToPage="1" state="hidden">
      <pageMargins left="0.7" right="0.7" top="0.75" bottom="0.75" header="0.3" footer="0.3"/>
      <pageSetup paperSize="9" scale="40" orientation="landscape" r:id="rId8"/>
    </customSheetView>
  </customSheetViews>
  <mergeCells count="22">
    <mergeCell ref="B59:H59"/>
    <mergeCell ref="F17:G17"/>
    <mergeCell ref="H17:I17"/>
    <mergeCell ref="J17:K17"/>
    <mergeCell ref="D17:E17"/>
    <mergeCell ref="A48:B48"/>
    <mergeCell ref="B56:F56"/>
    <mergeCell ref="B54:D54"/>
    <mergeCell ref="A7:U7"/>
    <mergeCell ref="A16:A18"/>
    <mergeCell ref="B16:B18"/>
    <mergeCell ref="C16:C18"/>
    <mergeCell ref="D16:M16"/>
    <mergeCell ref="S16:T16"/>
    <mergeCell ref="S17:T17"/>
    <mergeCell ref="P17:P18"/>
    <mergeCell ref="O17:O18"/>
    <mergeCell ref="N16:N18"/>
    <mergeCell ref="O16:R16"/>
    <mergeCell ref="U16:U18"/>
    <mergeCell ref="L17:M17"/>
    <mergeCell ref="Q17:R17"/>
  </mergeCells>
  <phoneticPr fontId="0" type="noConversion"/>
  <pageMargins left="0.7" right="0.7" top="0.75" bottom="0.75" header="0.3" footer="0.3"/>
  <pageSetup paperSize="9" scale="40" orientation="landscape" r:id="rId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outlinePr summaryBelow="0" summaryRight="0"/>
    <pageSetUpPr fitToPage="1"/>
  </sheetPr>
  <dimension ref="A1:AJ42"/>
  <sheetViews>
    <sheetView view="pageBreakPreview" topLeftCell="A10" zoomScale="70" zoomScaleNormal="50" zoomScaleSheetLayoutView="70" zoomScalePageLayoutView="21" workbookViewId="0">
      <selection activeCell="J24" sqref="J24"/>
    </sheetView>
  </sheetViews>
  <sheetFormatPr defaultRowHeight="15.75" outlineLevelRow="1"/>
  <cols>
    <col min="1" max="1" width="9" style="200"/>
    <col min="2" max="2" width="40.625" style="200" customWidth="1"/>
    <col min="3" max="6" width="10.875" style="214" customWidth="1"/>
    <col min="7" max="7" width="11.375" style="214" customWidth="1"/>
    <col min="8" max="8" width="11.75" style="214" customWidth="1"/>
    <col min="9" max="9" width="20.5" style="214" customWidth="1"/>
    <col min="10" max="10" width="10.875" style="215" customWidth="1"/>
    <col min="11" max="11" width="11.25" style="214" customWidth="1"/>
    <col min="12" max="12" width="13.5" style="214" customWidth="1"/>
    <col min="13" max="13" width="10" style="214" customWidth="1"/>
    <col min="14" max="14" width="10.75" style="214" customWidth="1"/>
    <col min="15" max="15" width="10.875" style="215" customWidth="1"/>
    <col min="16" max="16" width="10.125" style="214" customWidth="1"/>
    <col min="17" max="17" width="11.625" style="214" customWidth="1"/>
    <col min="18" max="18" width="11.5" style="214" customWidth="1"/>
    <col min="19" max="19" width="14" style="214" customWidth="1"/>
    <col min="20" max="20" width="13.5" style="214" customWidth="1"/>
    <col min="21" max="21" width="9.875" style="214" customWidth="1"/>
    <col min="22" max="22" width="10.75" style="214" customWidth="1"/>
    <col min="23" max="23" width="14" style="214" customWidth="1"/>
    <col min="24" max="24" width="11.5" style="214" customWidth="1"/>
    <col min="25" max="25" width="11.75" style="214" customWidth="1"/>
    <col min="26" max="26" width="12.5" style="214" customWidth="1"/>
    <col min="27" max="27" width="15.25" style="355" customWidth="1"/>
    <col min="28" max="28" width="16.375" style="216" customWidth="1"/>
    <col min="29" max="29" width="11" style="217" customWidth="1"/>
    <col min="30" max="30" width="12.75" style="216" customWidth="1"/>
    <col min="31" max="31" width="8.75" style="216" customWidth="1"/>
    <col min="32" max="32" width="10.5" style="216" customWidth="1"/>
    <col min="33" max="33" width="14.875" style="216" customWidth="1"/>
    <col min="34" max="34" width="12" style="217" customWidth="1"/>
    <col min="35" max="35" width="10.375" style="214" hidden="1" customWidth="1"/>
    <col min="36" max="16384" width="9" style="200"/>
  </cols>
  <sheetData>
    <row r="1" spans="1:35" ht="18.75">
      <c r="A1" s="164"/>
      <c r="B1" s="164"/>
      <c r="C1" s="357"/>
      <c r="D1" s="357"/>
      <c r="E1" s="357"/>
      <c r="F1" s="357"/>
      <c r="G1" s="357"/>
      <c r="H1" s="357"/>
      <c r="I1" s="357"/>
      <c r="J1" s="154"/>
      <c r="K1" s="357"/>
      <c r="L1" s="357"/>
      <c r="M1" s="357"/>
      <c r="N1" s="357"/>
      <c r="O1" s="154"/>
      <c r="P1" s="357"/>
      <c r="Q1" s="357"/>
      <c r="R1" s="357"/>
      <c r="S1" s="357"/>
      <c r="T1" s="357"/>
      <c r="U1" s="357"/>
      <c r="V1" s="357"/>
      <c r="W1" s="357"/>
      <c r="X1" s="357"/>
      <c r="Y1" s="357"/>
      <c r="Z1" s="357"/>
      <c r="AA1" s="351"/>
      <c r="AB1" s="165"/>
      <c r="AC1" s="166"/>
      <c r="AD1" s="165"/>
      <c r="AE1" s="165"/>
      <c r="AF1" s="165"/>
      <c r="AG1" s="165"/>
      <c r="AH1" s="154" t="s">
        <v>237</v>
      </c>
      <c r="AI1" s="154" t="s">
        <v>237</v>
      </c>
    </row>
    <row r="2" spans="1:35" ht="18.75">
      <c r="A2" s="164"/>
      <c r="B2" s="164"/>
      <c r="C2" s="357"/>
      <c r="D2" s="357"/>
      <c r="E2" s="357"/>
      <c r="F2" s="357"/>
      <c r="G2" s="357"/>
      <c r="H2" s="357"/>
      <c r="I2" s="357"/>
      <c r="J2" s="154"/>
      <c r="K2" s="357"/>
      <c r="L2" s="357"/>
      <c r="M2" s="357"/>
      <c r="N2" s="357"/>
      <c r="O2" s="154"/>
      <c r="P2" s="357"/>
      <c r="Q2" s="357"/>
      <c r="R2" s="357"/>
      <c r="S2" s="357"/>
      <c r="T2" s="357"/>
      <c r="U2" s="357"/>
      <c r="V2" s="357"/>
      <c r="W2" s="357"/>
      <c r="X2" s="357"/>
      <c r="Y2" s="357"/>
      <c r="Z2" s="357"/>
      <c r="AA2" s="351"/>
      <c r="AB2" s="165"/>
      <c r="AC2" s="166"/>
      <c r="AD2" s="165"/>
      <c r="AE2" s="165"/>
      <c r="AF2" s="165"/>
      <c r="AG2" s="165"/>
      <c r="AH2" s="154" t="s">
        <v>433</v>
      </c>
      <c r="AI2" s="154" t="s">
        <v>433</v>
      </c>
    </row>
    <row r="3" spans="1:35" ht="18.75">
      <c r="A3" s="164"/>
      <c r="B3" s="164"/>
      <c r="C3" s="357"/>
      <c r="D3" s="357"/>
      <c r="E3" s="357"/>
      <c r="F3" s="357"/>
      <c r="G3" s="357"/>
      <c r="H3" s="357"/>
      <c r="I3" s="357"/>
      <c r="J3" s="154"/>
      <c r="K3" s="357"/>
      <c r="L3" s="357"/>
      <c r="M3" s="357"/>
      <c r="N3" s="357"/>
      <c r="O3" s="154"/>
      <c r="P3" s="357"/>
      <c r="Q3" s="357"/>
      <c r="R3" s="357"/>
      <c r="S3" s="357"/>
      <c r="T3" s="357"/>
      <c r="U3" s="357"/>
      <c r="V3" s="357"/>
      <c r="W3" s="357"/>
      <c r="X3" s="357"/>
      <c r="Y3" s="357"/>
      <c r="Z3" s="357"/>
      <c r="AA3" s="351"/>
      <c r="AB3" s="165"/>
      <c r="AC3" s="166"/>
      <c r="AD3" s="165"/>
      <c r="AE3" s="165"/>
      <c r="AF3" s="165"/>
      <c r="AG3" s="165"/>
      <c r="AH3" s="154" t="s">
        <v>400</v>
      </c>
      <c r="AI3" s="154" t="s">
        <v>400</v>
      </c>
    </row>
    <row r="4" spans="1:35" ht="18.75">
      <c r="A4" s="164"/>
      <c r="B4" s="164"/>
      <c r="C4" s="357"/>
      <c r="D4" s="357"/>
      <c r="E4" s="357"/>
      <c r="F4" s="357"/>
      <c r="G4" s="357"/>
      <c r="H4" s="357"/>
      <c r="I4" s="357"/>
      <c r="J4" s="154"/>
      <c r="K4" s="357"/>
      <c r="L4" s="357"/>
      <c r="M4" s="357"/>
      <c r="N4" s="357"/>
      <c r="O4" s="154"/>
      <c r="P4" s="357"/>
      <c r="Q4" s="357"/>
      <c r="R4" s="357"/>
      <c r="S4" s="357"/>
      <c r="T4" s="357"/>
      <c r="U4" s="357"/>
      <c r="V4" s="357"/>
      <c r="W4" s="357"/>
      <c r="X4" s="357"/>
      <c r="Y4" s="357"/>
      <c r="Z4" s="357"/>
      <c r="AA4" s="351"/>
      <c r="AB4" s="165"/>
      <c r="AC4" s="166"/>
      <c r="AD4" s="165"/>
      <c r="AE4" s="165"/>
      <c r="AF4" s="165"/>
      <c r="AG4" s="165"/>
      <c r="AH4" s="166"/>
      <c r="AI4" s="154"/>
    </row>
    <row r="5" spans="1:35" ht="18.75">
      <c r="A5" s="876" t="s">
        <v>3</v>
      </c>
      <c r="B5" s="876"/>
      <c r="C5" s="876"/>
      <c r="D5" s="876"/>
      <c r="E5" s="876"/>
      <c r="F5" s="876"/>
      <c r="G5" s="876"/>
      <c r="H5" s="876"/>
      <c r="I5" s="876"/>
      <c r="J5" s="876"/>
      <c r="K5" s="876"/>
      <c r="L5" s="876"/>
      <c r="M5" s="876"/>
      <c r="N5" s="876"/>
      <c r="O5" s="876"/>
      <c r="P5" s="876"/>
      <c r="Q5" s="876"/>
      <c r="R5" s="876"/>
      <c r="S5" s="876"/>
      <c r="T5" s="876"/>
      <c r="U5" s="876"/>
      <c r="V5" s="876"/>
      <c r="W5" s="876"/>
      <c r="X5" s="876"/>
      <c r="Y5" s="876"/>
      <c r="Z5" s="876"/>
      <c r="AA5" s="876"/>
      <c r="AB5" s="876"/>
      <c r="AC5" s="876"/>
      <c r="AD5" s="876"/>
      <c r="AE5" s="876"/>
      <c r="AF5" s="876"/>
      <c r="AG5" s="876"/>
      <c r="AH5" s="876"/>
      <c r="AI5" s="876"/>
    </row>
    <row r="6" spans="1:35" ht="18.75">
      <c r="A6" s="876" t="s">
        <v>616</v>
      </c>
      <c r="B6" s="876"/>
      <c r="C6" s="876"/>
      <c r="D6" s="876"/>
      <c r="E6" s="876"/>
      <c r="F6" s="876"/>
      <c r="G6" s="876"/>
      <c r="H6" s="876"/>
      <c r="I6" s="876"/>
      <c r="J6" s="876"/>
      <c r="K6" s="876"/>
      <c r="L6" s="876"/>
      <c r="M6" s="876"/>
      <c r="N6" s="876"/>
      <c r="O6" s="876"/>
      <c r="P6" s="876"/>
      <c r="Q6" s="876"/>
      <c r="R6" s="876"/>
      <c r="S6" s="876"/>
      <c r="T6" s="876"/>
      <c r="U6" s="876"/>
      <c r="V6" s="876"/>
      <c r="W6" s="876"/>
      <c r="X6" s="876"/>
      <c r="Y6" s="876"/>
      <c r="Z6" s="876"/>
      <c r="AA6" s="876"/>
      <c r="AB6" s="876"/>
      <c r="AC6" s="876"/>
      <c r="AD6" s="876"/>
      <c r="AE6" s="876"/>
      <c r="AF6" s="876"/>
      <c r="AG6" s="876"/>
      <c r="AH6" s="876"/>
      <c r="AI6" s="876"/>
    </row>
    <row r="7" spans="1:35" ht="20.25">
      <c r="A7" s="164"/>
      <c r="B7" s="164"/>
      <c r="C7" s="357"/>
      <c r="D7" s="357"/>
      <c r="E7" s="357"/>
      <c r="F7" s="357"/>
      <c r="G7" s="357"/>
      <c r="H7" s="357"/>
      <c r="I7" s="357"/>
      <c r="J7" s="154"/>
      <c r="K7" s="357"/>
      <c r="L7" s="357"/>
      <c r="M7" s="357"/>
      <c r="N7" s="357"/>
      <c r="O7" s="154"/>
      <c r="P7" s="357"/>
      <c r="Q7" s="357"/>
      <c r="R7" s="357"/>
      <c r="S7" s="357"/>
      <c r="T7" s="357"/>
      <c r="U7" s="357"/>
      <c r="V7" s="357"/>
      <c r="W7" s="357"/>
      <c r="X7" s="357"/>
      <c r="Y7" s="357"/>
      <c r="Z7" s="357"/>
      <c r="AA7" s="351"/>
      <c r="AB7" s="165"/>
      <c r="AC7" s="166"/>
      <c r="AD7" s="165"/>
      <c r="AE7" s="165"/>
      <c r="AF7" s="449"/>
      <c r="AG7" s="449"/>
      <c r="AH7" s="449" t="s">
        <v>296</v>
      </c>
      <c r="AI7" s="372"/>
    </row>
    <row r="8" spans="1:35" ht="20.25" customHeight="1">
      <c r="A8" s="164"/>
      <c r="B8" s="164"/>
      <c r="C8" s="357"/>
      <c r="D8" s="357"/>
      <c r="E8" s="357"/>
      <c r="F8" s="357"/>
      <c r="G8" s="357"/>
      <c r="H8" s="357"/>
      <c r="I8" s="357"/>
      <c r="J8" s="154"/>
      <c r="K8" s="357"/>
      <c r="L8" s="357"/>
      <c r="M8" s="357"/>
      <c r="N8" s="357"/>
      <c r="O8" s="154"/>
      <c r="P8" s="357"/>
      <c r="Q8" s="357"/>
      <c r="R8" s="357"/>
      <c r="S8" s="357"/>
      <c r="T8" s="357"/>
      <c r="U8" s="357"/>
      <c r="V8" s="357"/>
      <c r="W8" s="357"/>
      <c r="X8" s="357"/>
      <c r="Y8" s="357"/>
      <c r="Z8" s="357"/>
      <c r="AA8" s="351"/>
      <c r="AB8" s="165"/>
      <c r="AC8" s="166"/>
      <c r="AD8" s="165"/>
      <c r="AE8" s="165"/>
      <c r="AF8" s="456"/>
      <c r="AG8" s="456"/>
      <c r="AH8" s="456" t="s">
        <v>615</v>
      </c>
      <c r="AI8" s="372"/>
    </row>
    <row r="9" spans="1:35" ht="20.25" customHeight="1">
      <c r="A9" s="164"/>
      <c r="B9" s="164"/>
      <c r="C9" s="357"/>
      <c r="D9" s="357"/>
      <c r="E9" s="357"/>
      <c r="F9" s="357"/>
      <c r="G9" s="357"/>
      <c r="H9" s="357"/>
      <c r="I9" s="357"/>
      <c r="J9" s="154"/>
      <c r="K9" s="357"/>
      <c r="L9" s="357"/>
      <c r="M9" s="357"/>
      <c r="N9" s="357"/>
      <c r="O9" s="154"/>
      <c r="P9" s="357"/>
      <c r="Q9" s="357"/>
      <c r="R9" s="357"/>
      <c r="S9" s="357"/>
      <c r="T9" s="357"/>
      <c r="U9" s="357"/>
      <c r="V9" s="357"/>
      <c r="W9" s="357"/>
      <c r="X9" s="357"/>
      <c r="Y9" s="357"/>
      <c r="Z9" s="357"/>
      <c r="AA9" s="351"/>
      <c r="AB9" s="165"/>
      <c r="AC9" s="166"/>
      <c r="AD9" s="165"/>
      <c r="AE9" s="165"/>
      <c r="AF9" s="449"/>
      <c r="AG9" s="449"/>
      <c r="AH9" s="449" t="s">
        <v>614</v>
      </c>
      <c r="AI9" s="372"/>
    </row>
    <row r="10" spans="1:35" ht="20.25">
      <c r="A10" s="164"/>
      <c r="B10" s="164"/>
      <c r="C10" s="357"/>
      <c r="D10" s="357"/>
      <c r="E10" s="357"/>
      <c r="F10" s="357"/>
      <c r="G10" s="357"/>
      <c r="H10" s="357"/>
      <c r="I10" s="357"/>
      <c r="J10" s="154"/>
      <c r="K10" s="357"/>
      <c r="L10" s="357"/>
      <c r="M10" s="357"/>
      <c r="N10" s="357"/>
      <c r="O10" s="154"/>
      <c r="P10" s="357"/>
      <c r="Q10" s="357"/>
      <c r="R10" s="357"/>
      <c r="S10" s="357"/>
      <c r="T10" s="357"/>
      <c r="U10" s="357"/>
      <c r="V10" s="357"/>
      <c r="W10" s="357"/>
      <c r="X10" s="357"/>
      <c r="Y10" s="357"/>
      <c r="Z10" s="357"/>
      <c r="AA10" s="351"/>
      <c r="AB10" s="165"/>
      <c r="AC10" s="166"/>
      <c r="AD10" s="165"/>
      <c r="AE10" s="165"/>
      <c r="AF10" s="449"/>
      <c r="AG10" s="449"/>
      <c r="AH10" s="449" t="s">
        <v>656</v>
      </c>
      <c r="AI10" s="372"/>
    </row>
    <row r="11" spans="1:35" ht="20.25">
      <c r="A11" s="164"/>
      <c r="B11" s="164"/>
      <c r="C11" s="357"/>
      <c r="D11" s="357"/>
      <c r="E11" s="357"/>
      <c r="F11" s="357"/>
      <c r="G11" s="357"/>
      <c r="H11" s="357"/>
      <c r="I11" s="357"/>
      <c r="J11" s="154"/>
      <c r="K11" s="357"/>
      <c r="L11" s="357"/>
      <c r="M11" s="357"/>
      <c r="N11" s="357"/>
      <c r="O11" s="154"/>
      <c r="P11" s="357"/>
      <c r="Q11" s="357"/>
      <c r="R11" s="357"/>
      <c r="S11" s="357"/>
      <c r="T11" s="357"/>
      <c r="U11" s="357"/>
      <c r="V11" s="357"/>
      <c r="W11" s="357"/>
      <c r="X11" s="357"/>
      <c r="Y11" s="357"/>
      <c r="Z11" s="357"/>
      <c r="AA11" s="351"/>
      <c r="AB11" s="165"/>
      <c r="AC11" s="166"/>
      <c r="AD11" s="165"/>
      <c r="AE11" s="165"/>
      <c r="AF11" s="449"/>
      <c r="AG11" s="449"/>
      <c r="AH11" s="449" t="s">
        <v>173</v>
      </c>
      <c r="AI11" s="372"/>
    </row>
    <row r="12" spans="1:35" ht="18.75">
      <c r="A12" s="164"/>
      <c r="B12" s="164"/>
      <c r="C12" s="357"/>
      <c r="D12" s="357"/>
      <c r="E12" s="357"/>
      <c r="F12" s="357"/>
      <c r="G12" s="357"/>
      <c r="H12" s="357"/>
      <c r="I12" s="357"/>
      <c r="J12" s="154"/>
      <c r="K12" s="357"/>
      <c r="L12" s="357"/>
      <c r="M12" s="357"/>
      <c r="N12" s="357"/>
      <c r="O12" s="154"/>
      <c r="P12" s="357"/>
      <c r="Q12" s="357"/>
      <c r="R12" s="357"/>
      <c r="S12" s="357"/>
      <c r="T12" s="357"/>
      <c r="U12" s="357"/>
      <c r="V12" s="357"/>
      <c r="W12" s="357"/>
      <c r="X12" s="357"/>
      <c r="Y12" s="357"/>
      <c r="Z12" s="357"/>
      <c r="AA12" s="351"/>
      <c r="AB12" s="165"/>
      <c r="AC12" s="166"/>
      <c r="AD12" s="165"/>
      <c r="AE12" s="165"/>
      <c r="AF12" s="371"/>
      <c r="AG12" s="371"/>
      <c r="AH12" s="154"/>
      <c r="AI12" s="372"/>
    </row>
    <row r="13" spans="1:35" ht="18.75">
      <c r="A13" s="164"/>
      <c r="B13" s="164"/>
      <c r="C13" s="357"/>
      <c r="D13" s="357"/>
      <c r="E13" s="357"/>
      <c r="F13" s="357"/>
      <c r="G13" s="357"/>
      <c r="H13" s="357"/>
      <c r="I13" s="357"/>
      <c r="J13" s="154"/>
      <c r="K13" s="357"/>
      <c r="L13" s="357"/>
      <c r="M13" s="357"/>
      <c r="N13" s="357"/>
      <c r="O13" s="154"/>
      <c r="P13" s="357"/>
      <c r="Q13" s="357"/>
      <c r="R13" s="357"/>
      <c r="S13" s="357"/>
      <c r="T13" s="357"/>
      <c r="U13" s="357"/>
      <c r="V13" s="357"/>
      <c r="W13" s="357"/>
      <c r="X13" s="357"/>
      <c r="Y13" s="357"/>
      <c r="Z13" s="357"/>
      <c r="AA13" s="351"/>
      <c r="AB13" s="165"/>
      <c r="AC13" s="166"/>
      <c r="AD13" s="165"/>
      <c r="AE13" s="165"/>
      <c r="AF13" s="165"/>
      <c r="AG13" s="165"/>
      <c r="AH13" s="166"/>
      <c r="AI13" s="357"/>
    </row>
    <row r="14" spans="1:35">
      <c r="A14" s="877" t="s">
        <v>266</v>
      </c>
      <c r="B14" s="877" t="s">
        <v>361</v>
      </c>
      <c r="C14" s="877" t="s">
        <v>54</v>
      </c>
      <c r="D14" s="877"/>
      <c r="E14" s="877"/>
      <c r="F14" s="877"/>
      <c r="G14" s="877"/>
      <c r="H14" s="877"/>
      <c r="I14" s="877"/>
      <c r="J14" s="877"/>
      <c r="K14" s="877"/>
      <c r="L14" s="877"/>
      <c r="M14" s="877"/>
      <c r="N14" s="877"/>
      <c r="O14" s="877"/>
      <c r="P14" s="877"/>
      <c r="Q14" s="877" t="s">
        <v>362</v>
      </c>
      <c r="R14" s="877"/>
      <c r="S14" s="877"/>
      <c r="T14" s="877"/>
      <c r="U14" s="877"/>
      <c r="V14" s="877" t="s">
        <v>363</v>
      </c>
      <c r="W14" s="877"/>
      <c r="X14" s="877"/>
      <c r="Y14" s="877"/>
      <c r="Z14" s="877"/>
      <c r="AA14" s="877"/>
      <c r="AB14" s="877"/>
      <c r="AC14" s="877"/>
      <c r="AD14" s="877"/>
      <c r="AE14" s="877"/>
      <c r="AF14" s="877"/>
      <c r="AG14" s="877"/>
      <c r="AH14" s="877"/>
      <c r="AI14" s="877"/>
    </row>
    <row r="15" spans="1:35">
      <c r="A15" s="877"/>
      <c r="B15" s="877"/>
      <c r="C15" s="877" t="s">
        <v>142</v>
      </c>
      <c r="D15" s="877"/>
      <c r="E15" s="877"/>
      <c r="F15" s="877"/>
      <c r="G15" s="877" t="s">
        <v>364</v>
      </c>
      <c r="H15" s="877"/>
      <c r="I15" s="877"/>
      <c r="J15" s="877"/>
      <c r="K15" s="877" t="s">
        <v>365</v>
      </c>
      <c r="L15" s="877"/>
      <c r="M15" s="877"/>
      <c r="N15" s="877"/>
      <c r="O15" s="877"/>
      <c r="P15" s="875" t="s">
        <v>55</v>
      </c>
      <c r="Q15" s="877"/>
      <c r="R15" s="877"/>
      <c r="S15" s="877"/>
      <c r="T15" s="877"/>
      <c r="U15" s="877"/>
      <c r="V15" s="877" t="s">
        <v>142</v>
      </c>
      <c r="W15" s="877"/>
      <c r="X15" s="877"/>
      <c r="Y15" s="877"/>
      <c r="Z15" s="877" t="s">
        <v>364</v>
      </c>
      <c r="AA15" s="877"/>
      <c r="AB15" s="877"/>
      <c r="AC15" s="877"/>
      <c r="AD15" s="877" t="s">
        <v>365</v>
      </c>
      <c r="AE15" s="877"/>
      <c r="AF15" s="877"/>
      <c r="AG15" s="877"/>
      <c r="AH15" s="877"/>
      <c r="AI15" s="875" t="s">
        <v>144</v>
      </c>
    </row>
    <row r="16" spans="1:35" ht="78.75">
      <c r="A16" s="877"/>
      <c r="B16" s="877"/>
      <c r="C16" s="399" t="s">
        <v>366</v>
      </c>
      <c r="D16" s="399" t="s">
        <v>367</v>
      </c>
      <c r="E16" s="399" t="s">
        <v>143</v>
      </c>
      <c r="F16" s="399" t="s">
        <v>57</v>
      </c>
      <c r="G16" s="399" t="s">
        <v>366</v>
      </c>
      <c r="H16" s="399" t="s">
        <v>61</v>
      </c>
      <c r="I16" s="399" t="s">
        <v>368</v>
      </c>
      <c r="J16" s="399" t="s">
        <v>369</v>
      </c>
      <c r="K16" s="399" t="s">
        <v>370</v>
      </c>
      <c r="L16" s="399" t="s">
        <v>367</v>
      </c>
      <c r="M16" s="399" t="s">
        <v>371</v>
      </c>
      <c r="N16" s="399" t="s">
        <v>372</v>
      </c>
      <c r="O16" s="399" t="s">
        <v>373</v>
      </c>
      <c r="P16" s="875"/>
      <c r="Q16" s="54" t="s">
        <v>536</v>
      </c>
      <c r="R16" s="54" t="s">
        <v>538</v>
      </c>
      <c r="S16" s="54" t="s">
        <v>537</v>
      </c>
      <c r="T16" s="54" t="s">
        <v>539</v>
      </c>
      <c r="U16" s="54" t="s">
        <v>540</v>
      </c>
      <c r="V16" s="399" t="s">
        <v>366</v>
      </c>
      <c r="W16" s="399" t="s">
        <v>56</v>
      </c>
      <c r="X16" s="399" t="s">
        <v>143</v>
      </c>
      <c r="Y16" s="399" t="s">
        <v>58</v>
      </c>
      <c r="Z16" s="399" t="s">
        <v>366</v>
      </c>
      <c r="AA16" s="352" t="s">
        <v>367</v>
      </c>
      <c r="AB16" s="399" t="s">
        <v>368</v>
      </c>
      <c r="AC16" s="399" t="s">
        <v>369</v>
      </c>
      <c r="AD16" s="399" t="s">
        <v>370</v>
      </c>
      <c r="AE16" s="399" t="s">
        <v>367</v>
      </c>
      <c r="AF16" s="399" t="s">
        <v>371</v>
      </c>
      <c r="AG16" s="399" t="s">
        <v>372</v>
      </c>
      <c r="AH16" s="399" t="s">
        <v>373</v>
      </c>
      <c r="AI16" s="875"/>
    </row>
    <row r="17" spans="1:35" s="179" customFormat="1">
      <c r="A17" s="400"/>
      <c r="B17" s="400">
        <v>1</v>
      </c>
      <c r="C17" s="400">
        <v>2</v>
      </c>
      <c r="D17" s="400">
        <v>3</v>
      </c>
      <c r="E17" s="400">
        <v>4</v>
      </c>
      <c r="F17" s="400">
        <v>5</v>
      </c>
      <c r="G17" s="400">
        <v>6</v>
      </c>
      <c r="H17" s="400">
        <v>7</v>
      </c>
      <c r="I17" s="400">
        <v>8</v>
      </c>
      <c r="J17" s="400">
        <v>9</v>
      </c>
      <c r="K17" s="400">
        <v>10</v>
      </c>
      <c r="L17" s="400">
        <v>11</v>
      </c>
      <c r="M17" s="400">
        <v>12</v>
      </c>
      <c r="N17" s="400">
        <v>13</v>
      </c>
      <c r="O17" s="400">
        <v>14</v>
      </c>
      <c r="P17" s="400">
        <v>15</v>
      </c>
      <c r="Q17" s="400">
        <v>16</v>
      </c>
      <c r="R17" s="400">
        <v>17</v>
      </c>
      <c r="S17" s="400">
        <v>18</v>
      </c>
      <c r="T17" s="400">
        <v>19</v>
      </c>
      <c r="U17" s="400">
        <v>20</v>
      </c>
      <c r="V17" s="400">
        <v>21</v>
      </c>
      <c r="W17" s="400">
        <v>22</v>
      </c>
      <c r="X17" s="400">
        <v>23</v>
      </c>
      <c r="Y17" s="400">
        <v>24</v>
      </c>
      <c r="Z17" s="400">
        <v>25</v>
      </c>
      <c r="AA17" s="401">
        <v>26</v>
      </c>
      <c r="AB17" s="400">
        <v>27</v>
      </c>
      <c r="AC17" s="400">
        <v>28</v>
      </c>
      <c r="AD17" s="400">
        <v>29</v>
      </c>
      <c r="AE17" s="400">
        <v>30</v>
      </c>
      <c r="AF17" s="400">
        <v>31</v>
      </c>
      <c r="AG17" s="400">
        <v>32</v>
      </c>
      <c r="AH17" s="400">
        <v>33</v>
      </c>
      <c r="AI17" s="400">
        <v>33</v>
      </c>
    </row>
    <row r="18" spans="1:35" s="172" customFormat="1">
      <c r="A18" s="400"/>
      <c r="B18" s="400" t="s">
        <v>439</v>
      </c>
      <c r="C18" s="400"/>
      <c r="D18" s="201"/>
      <c r="E18" s="400"/>
      <c r="F18" s="400"/>
      <c r="G18" s="400"/>
      <c r="H18" s="201"/>
      <c r="I18" s="201"/>
      <c r="J18" s="202">
        <f>J19+J35</f>
        <v>12</v>
      </c>
      <c r="K18" s="203"/>
      <c r="L18" s="203"/>
      <c r="M18" s="203"/>
      <c r="N18" s="203"/>
      <c r="O18" s="203">
        <f>O19+O34</f>
        <v>13.353999999999999</v>
      </c>
      <c r="P18" s="203"/>
      <c r="Q18" s="203">
        <f>Q19+Q35</f>
        <v>174.094431265</v>
      </c>
      <c r="R18" s="203">
        <f>R19+R35</f>
        <v>8.7047215632500006</v>
      </c>
      <c r="S18" s="203">
        <f>S19+S35</f>
        <v>69.637772506000005</v>
      </c>
      <c r="T18" s="203">
        <f>T19+T35</f>
        <v>87.047215632499999</v>
      </c>
      <c r="U18" s="203">
        <f>U19+U35</f>
        <v>8.7047215632499881</v>
      </c>
      <c r="V18" s="203"/>
      <c r="W18" s="203"/>
      <c r="X18" s="203"/>
      <c r="Y18" s="203"/>
      <c r="Z18" s="203"/>
      <c r="AA18" s="401"/>
      <c r="AB18" s="203"/>
      <c r="AC18" s="205">
        <f>AC19+AC35</f>
        <v>40</v>
      </c>
      <c r="AD18" s="203"/>
      <c r="AE18" s="203"/>
      <c r="AF18" s="203"/>
      <c r="AG18" s="203"/>
      <c r="AH18" s="204">
        <f>AH19+AH35</f>
        <v>13.353999999999999</v>
      </c>
      <c r="AI18" s="203"/>
    </row>
    <row r="19" spans="1:35" s="172" customFormat="1" ht="31.5">
      <c r="A19" s="400">
        <v>1</v>
      </c>
      <c r="B19" s="167" t="s">
        <v>163</v>
      </c>
      <c r="C19" s="400"/>
      <c r="D19" s="400"/>
      <c r="E19" s="400"/>
      <c r="F19" s="400"/>
      <c r="G19" s="400"/>
      <c r="H19" s="400"/>
      <c r="I19" s="171"/>
      <c r="J19" s="202">
        <f>J26+J30+J34</f>
        <v>12</v>
      </c>
      <c r="K19" s="400"/>
      <c r="L19" s="400"/>
      <c r="M19" s="400"/>
      <c r="N19" s="400"/>
      <c r="O19" s="203">
        <f>O26+O30+O34</f>
        <v>13.353999999999999</v>
      </c>
      <c r="P19" s="203"/>
      <c r="Q19" s="203">
        <f>Q26+Q30+Q34</f>
        <v>174.094431265</v>
      </c>
      <c r="R19" s="203">
        <f>R26+R30+R34</f>
        <v>8.7047215632500006</v>
      </c>
      <c r="S19" s="203">
        <f>S26+S30+S34</f>
        <v>69.637772506000005</v>
      </c>
      <c r="T19" s="203">
        <f>T26+T30+T34</f>
        <v>87.047215632499999</v>
      </c>
      <c r="U19" s="203">
        <f>U26+U30+U34</f>
        <v>8.7047215632499881</v>
      </c>
      <c r="V19" s="171"/>
      <c r="W19" s="171"/>
      <c r="X19" s="171"/>
      <c r="Y19" s="171"/>
      <c r="Z19" s="171"/>
      <c r="AA19" s="353"/>
      <c r="AB19" s="171"/>
      <c r="AC19" s="202">
        <f>AC26+AC30+AC34</f>
        <v>40</v>
      </c>
      <c r="AD19" s="171"/>
      <c r="AE19" s="171"/>
      <c r="AF19" s="171"/>
      <c r="AG19" s="171"/>
      <c r="AH19" s="204">
        <f>AH26+AH30+AH34</f>
        <v>13.353999999999999</v>
      </c>
      <c r="AI19" s="185"/>
    </row>
    <row r="20" spans="1:35" ht="31.5">
      <c r="A20" s="169" t="s">
        <v>253</v>
      </c>
      <c r="B20" s="167" t="s">
        <v>160</v>
      </c>
      <c r="C20" s="400"/>
      <c r="D20" s="400"/>
      <c r="E20" s="400"/>
      <c r="F20" s="400"/>
      <c r="G20" s="400"/>
      <c r="H20" s="400"/>
      <c r="I20" s="206"/>
      <c r="J20" s="202"/>
      <c r="K20" s="400"/>
      <c r="L20" s="400"/>
      <c r="M20" s="400"/>
      <c r="N20" s="400"/>
      <c r="O20" s="203"/>
      <c r="P20" s="519"/>
      <c r="Q20" s="519"/>
      <c r="R20" s="203"/>
      <c r="S20" s="203"/>
      <c r="T20" s="203"/>
      <c r="U20" s="203"/>
      <c r="V20" s="400"/>
      <c r="W20" s="400"/>
      <c r="X20" s="400"/>
      <c r="Y20" s="400"/>
      <c r="Z20" s="208"/>
      <c r="AA20" s="354"/>
      <c r="AB20" s="206"/>
      <c r="AC20" s="209"/>
      <c r="AD20" s="206"/>
      <c r="AE20" s="206"/>
      <c r="AF20" s="206"/>
      <c r="AG20" s="206"/>
      <c r="AH20" s="210"/>
      <c r="AI20" s="208"/>
    </row>
    <row r="21" spans="1:35">
      <c r="A21" s="169" t="str">
        <f>'приложение 1.1 '!A22</f>
        <v>1.1.1.</v>
      </c>
      <c r="B21" s="394" t="str">
        <f>'приложение 1.1 '!B22</f>
        <v>Подстанции 35/6кВ</v>
      </c>
      <c r="C21" s="399"/>
      <c r="D21" s="399"/>
      <c r="E21" s="399"/>
      <c r="F21" s="399"/>
      <c r="G21" s="399"/>
      <c r="H21" s="399"/>
      <c r="I21" s="206"/>
      <c r="J21" s="211"/>
      <c r="K21" s="399"/>
      <c r="L21" s="399"/>
      <c r="M21" s="399"/>
      <c r="N21" s="399"/>
      <c r="O21" s="519">
        <f>'приложение 1.1 '!D22</f>
        <v>0</v>
      </c>
      <c r="P21" s="519"/>
      <c r="Q21" s="519">
        <f>'приложение 1.1 '!H22</f>
        <v>0</v>
      </c>
      <c r="R21" s="519">
        <f>Q21*0.05</f>
        <v>0</v>
      </c>
      <c r="S21" s="519">
        <f>Q21*0.4</f>
        <v>0</v>
      </c>
      <c r="T21" s="519">
        <f>Q21*0.5</f>
        <v>0</v>
      </c>
      <c r="U21" s="519">
        <f>Q21-(R21+S21+T21)</f>
        <v>0</v>
      </c>
      <c r="V21" s="399"/>
      <c r="W21" s="399"/>
      <c r="X21" s="399"/>
      <c r="Y21" s="399"/>
      <c r="Z21" s="399" t="str">
        <f>IF(AB21&gt;0,'приложение 1.1 '!G22,"-")</f>
        <v>-</v>
      </c>
      <c r="AA21" s="354"/>
      <c r="AB21" s="206"/>
      <c r="AC21" s="212">
        <f>'приложение 1.1 '!E22</f>
        <v>0</v>
      </c>
      <c r="AD21" s="399" t="str">
        <f>IF(AG21&gt;0,'приложение 1.1 '!G22,"-")</f>
        <v>-</v>
      </c>
      <c r="AE21" s="206"/>
      <c r="AF21" s="206"/>
      <c r="AG21" s="206"/>
      <c r="AH21" s="213">
        <f>'приложение 1.1 '!D22</f>
        <v>0</v>
      </c>
      <c r="AI21" s="208"/>
    </row>
    <row r="22" spans="1:35" ht="69.75" customHeight="1">
      <c r="A22" s="360" t="str">
        <f>'приложение 1.1 '!A23</f>
        <v>1.1.1.1</v>
      </c>
      <c r="B22" s="350" t="str">
        <f>'приложение 1.1 '!B23</f>
        <v>Реконструкция ПС №68 -35/6кВ (Замена тр-ров 1TONb 4000/35/6кВА на 1ТД 10000/35/6кВА; 1ЗРУ-6кВ на 1КРУ-6кВ)</v>
      </c>
      <c r="C22" s="399"/>
      <c r="D22" s="399"/>
      <c r="E22" s="399"/>
      <c r="F22" s="399"/>
      <c r="G22" s="399">
        <v>1989</v>
      </c>
      <c r="H22" s="399">
        <v>25</v>
      </c>
      <c r="I22" s="54" t="s">
        <v>531</v>
      </c>
      <c r="J22" s="211">
        <v>8</v>
      </c>
      <c r="K22" s="399"/>
      <c r="L22" s="399"/>
      <c r="M22" s="399"/>
      <c r="N22" s="399"/>
      <c r="O22" s="519">
        <f>'приложение 1.1 '!D23</f>
        <v>0</v>
      </c>
      <c r="P22" s="519"/>
      <c r="Q22" s="519">
        <f>'приложение 1.1 '!H23</f>
        <v>82.6</v>
      </c>
      <c r="R22" s="519">
        <f t="shared" ref="R22:R23" si="0">Q22*0.05</f>
        <v>4.13</v>
      </c>
      <c r="S22" s="519">
        <f t="shared" ref="S22:S23" si="1">Q22*0.4</f>
        <v>33.04</v>
      </c>
      <c r="T22" s="519">
        <f t="shared" ref="T22:T23" si="2">Q22*0.5</f>
        <v>41.3</v>
      </c>
      <c r="U22" s="519">
        <f t="shared" ref="U22:U23" si="3">Q22-(R22+S22+T22)</f>
        <v>4.1299999999999955</v>
      </c>
      <c r="V22" s="399"/>
      <c r="W22" s="399"/>
      <c r="X22" s="399"/>
      <c r="Y22" s="399"/>
      <c r="Z22" s="399">
        <f>IF(AB22&gt;0,'приложение 1.1 '!G23,"-")</f>
        <v>2018</v>
      </c>
      <c r="AA22" s="352">
        <v>25</v>
      </c>
      <c r="AB22" s="54" t="s">
        <v>532</v>
      </c>
      <c r="AC22" s="212">
        <f>'приложение 1.1 '!E23</f>
        <v>20</v>
      </c>
      <c r="AD22" s="399" t="str">
        <f>IF(AG22&gt;0,'приложение 1.1 '!G23,"-")</f>
        <v>-</v>
      </c>
      <c r="AE22" s="399"/>
      <c r="AF22" s="399"/>
      <c r="AG22" s="399"/>
      <c r="AH22" s="213">
        <f>'приложение 1.1 '!D23</f>
        <v>0</v>
      </c>
      <c r="AI22" s="208"/>
    </row>
    <row r="23" spans="1:35" ht="56.25" customHeight="1">
      <c r="A23" s="359" t="str">
        <f>'приложение 1.1 '!A24</f>
        <v>1.1.1.2</v>
      </c>
      <c r="B23" s="361" t="str">
        <f>'приложение 1.1 '!B24</f>
        <v>Реконструкция ПС №121 -35/6кВ (Замена тр-ров 2TONb 4000/35/6кВА на 2ТД 10000/35/6кВА; 2ЗРУ-6кВ на 2КРУ-6кВ)</v>
      </c>
      <c r="C23" s="399"/>
      <c r="D23" s="399"/>
      <c r="E23" s="399"/>
      <c r="F23" s="399"/>
      <c r="G23" s="399">
        <v>1989</v>
      </c>
      <c r="H23" s="399">
        <v>25</v>
      </c>
      <c r="I23" s="54" t="s">
        <v>677</v>
      </c>
      <c r="J23" s="211">
        <v>4</v>
      </c>
      <c r="K23" s="399"/>
      <c r="L23" s="399"/>
      <c r="M23" s="399"/>
      <c r="N23" s="54"/>
      <c r="O23" s="519">
        <f>'приложение 1.1 '!D24</f>
        <v>0</v>
      </c>
      <c r="P23" s="519"/>
      <c r="Q23" s="519">
        <f>'приложение 1.1 '!H24</f>
        <v>76.977455305000007</v>
      </c>
      <c r="R23" s="519">
        <f t="shared" si="0"/>
        <v>3.8488727652500003</v>
      </c>
      <c r="S23" s="519">
        <f t="shared" si="1"/>
        <v>30.790982122000003</v>
      </c>
      <c r="T23" s="519">
        <f t="shared" si="2"/>
        <v>38.488727652500003</v>
      </c>
      <c r="U23" s="519">
        <f t="shared" si="3"/>
        <v>3.8488727652500074</v>
      </c>
      <c r="V23" s="399"/>
      <c r="W23" s="399"/>
      <c r="X23" s="399"/>
      <c r="Y23" s="399"/>
      <c r="Z23" s="399">
        <f>IF(AB23&gt;0,'приложение 1.1 '!G24,"-")</f>
        <v>2019</v>
      </c>
      <c r="AA23" s="352">
        <v>25</v>
      </c>
      <c r="AB23" s="54" t="s">
        <v>533</v>
      </c>
      <c r="AC23" s="212">
        <f>'приложение 1.1 '!E24</f>
        <v>20</v>
      </c>
      <c r="AD23" s="399" t="str">
        <f>IF(AG23&gt;0,'приложение 1.1 '!G24,"-")</f>
        <v>-</v>
      </c>
      <c r="AE23" s="399"/>
      <c r="AF23" s="399"/>
      <c r="AG23" s="399"/>
      <c r="AH23" s="213">
        <f>'приложение 1.1 '!D24</f>
        <v>0</v>
      </c>
      <c r="AI23" s="208"/>
    </row>
    <row r="24" spans="1:35" ht="31.5" customHeight="1">
      <c r="A24" s="169" t="str">
        <f>'приложение 1.1 '!A25</f>
        <v>1.1.2.</v>
      </c>
      <c r="B24" s="394" t="str">
        <f>'приложение 1.1 '!B25</f>
        <v>Воздушные линии 35/6кВ</v>
      </c>
      <c r="C24" s="461"/>
      <c r="D24" s="461"/>
      <c r="E24" s="461"/>
      <c r="F24" s="461"/>
      <c r="G24" s="461"/>
      <c r="H24" s="461"/>
      <c r="I24" s="54"/>
      <c r="J24" s="211"/>
      <c r="K24" s="461"/>
      <c r="L24" s="461"/>
      <c r="M24" s="461"/>
      <c r="N24" s="54"/>
      <c r="O24" s="519"/>
      <c r="P24" s="519"/>
      <c r="Q24" s="519"/>
      <c r="R24" s="519"/>
      <c r="S24" s="519"/>
      <c r="T24" s="519"/>
      <c r="U24" s="519"/>
      <c r="V24" s="461"/>
      <c r="W24" s="461"/>
      <c r="X24" s="461"/>
      <c r="Y24" s="461"/>
      <c r="Z24" s="461"/>
      <c r="AA24" s="352"/>
      <c r="AB24" s="54"/>
      <c r="AC24" s="212"/>
      <c r="AD24" s="461"/>
      <c r="AE24" s="461"/>
      <c r="AF24" s="461"/>
      <c r="AG24" s="461"/>
      <c r="AH24" s="213"/>
      <c r="AI24" s="208"/>
    </row>
    <row r="25" spans="1:35" ht="47.25" customHeight="1">
      <c r="A25" s="359" t="str">
        <f>'приложение 1.1 '!A26</f>
        <v>1.1.2.1</v>
      </c>
      <c r="B25" s="361" t="str">
        <f>'приложение 1.1 '!B26</f>
        <v>Реконструкция ВЛ-35кВ от ВЛ-35 кВ "Восточный-1,2" до ПС 35/6 кВ "121,68"</v>
      </c>
      <c r="C25" s="461"/>
      <c r="D25" s="461"/>
      <c r="E25" s="461"/>
      <c r="F25" s="461"/>
      <c r="G25" s="461"/>
      <c r="H25" s="461"/>
      <c r="I25" s="54"/>
      <c r="J25" s="211"/>
      <c r="K25" s="481">
        <v>1989</v>
      </c>
      <c r="L25" s="461">
        <v>30</v>
      </c>
      <c r="M25" s="461"/>
      <c r="N25" s="54"/>
      <c r="O25" s="519">
        <f>'приложение 1.1 '!D26</f>
        <v>13.353999999999999</v>
      </c>
      <c r="P25" s="519"/>
      <c r="Q25" s="519">
        <f>'приложение 1.1 '!H26</f>
        <v>6.6369359599999997</v>
      </c>
      <c r="R25" s="519">
        <f t="shared" ref="R25" si="4">Q25*0.05</f>
        <v>0.331846798</v>
      </c>
      <c r="S25" s="519">
        <f t="shared" ref="S25" si="5">Q25*0.4</f>
        <v>2.654774384</v>
      </c>
      <c r="T25" s="519">
        <f t="shared" ref="T25" si="6">Q25*0.5</f>
        <v>3.3184679799999999</v>
      </c>
      <c r="U25" s="519">
        <f t="shared" ref="U25" si="7">Q25-(R25+S25+T25)</f>
        <v>0.33184679799999994</v>
      </c>
      <c r="V25" s="461"/>
      <c r="W25" s="461"/>
      <c r="X25" s="461"/>
      <c r="Y25" s="461"/>
      <c r="Z25" s="461"/>
      <c r="AA25" s="352"/>
      <c r="AB25" s="54"/>
      <c r="AC25" s="212"/>
      <c r="AD25" s="461">
        <f>IF(AG25&gt;0,'приложение 1.1 '!G26,"-")</f>
        <v>2019</v>
      </c>
      <c r="AE25" s="461">
        <v>30</v>
      </c>
      <c r="AF25" s="461"/>
      <c r="AG25" s="54" t="s">
        <v>592</v>
      </c>
      <c r="AH25" s="213">
        <f>'приложение 1.1 '!D26</f>
        <v>13.353999999999999</v>
      </c>
      <c r="AI25" s="208"/>
    </row>
    <row r="26" spans="1:35" s="172" customFormat="1">
      <c r="A26" s="360"/>
      <c r="B26" s="170" t="str">
        <f>'приложение 1.1 '!B27</f>
        <v>Итого по разделу 1.1.1.</v>
      </c>
      <c r="C26" s="400"/>
      <c r="D26" s="400"/>
      <c r="E26" s="400"/>
      <c r="F26" s="400"/>
      <c r="G26" s="400"/>
      <c r="H26" s="400"/>
      <c r="I26" s="400"/>
      <c r="J26" s="202">
        <f>SUM(J21:J25)</f>
        <v>12</v>
      </c>
      <c r="K26" s="400"/>
      <c r="L26" s="400"/>
      <c r="M26" s="400"/>
      <c r="N26" s="400"/>
      <c r="O26" s="203">
        <f>SUM(O21:O25)</f>
        <v>13.353999999999999</v>
      </c>
      <c r="P26" s="203"/>
      <c r="Q26" s="203">
        <f>SUM(Q21:Q25)</f>
        <v>166.21439126499999</v>
      </c>
      <c r="R26" s="203">
        <f>Q26*0.05</f>
        <v>8.3107195632500002</v>
      </c>
      <c r="S26" s="203">
        <f>Q26*0.4</f>
        <v>66.485756506000001</v>
      </c>
      <c r="T26" s="203">
        <f>Q26*0.5</f>
        <v>83.107195632499995</v>
      </c>
      <c r="U26" s="203">
        <f>Q26-(R26+S26+T26)</f>
        <v>8.3107195632499895</v>
      </c>
      <c r="V26" s="171"/>
      <c r="W26" s="171"/>
      <c r="X26" s="171"/>
      <c r="Y26" s="171"/>
      <c r="Z26" s="399" t="str">
        <f>IF(AB26&gt;0,'приложение 1.1 '!G27,"-")</f>
        <v>-</v>
      </c>
      <c r="AA26" s="353"/>
      <c r="AB26" s="171"/>
      <c r="AC26" s="221">
        <f>SUM(AC21:AC25)</f>
        <v>40</v>
      </c>
      <c r="AD26" s="171"/>
      <c r="AE26" s="171"/>
      <c r="AF26" s="171"/>
      <c r="AG26" s="171"/>
      <c r="AH26" s="204">
        <f>SUM(AH21:AI25)</f>
        <v>13.353999999999999</v>
      </c>
      <c r="AI26" s="171"/>
    </row>
    <row r="27" spans="1:35">
      <c r="A27" s="169" t="str">
        <f>'приложение 1.1 '!A28</f>
        <v>1.2.</v>
      </c>
      <c r="B27" s="170" t="str">
        <f>'приложение 1.1 '!B28</f>
        <v xml:space="preserve">Создание систем телемеханики и связи </v>
      </c>
      <c r="C27" s="399"/>
      <c r="D27" s="399"/>
      <c r="E27" s="399"/>
      <c r="F27" s="399"/>
      <c r="G27" s="399"/>
      <c r="H27" s="399"/>
      <c r="I27" s="399"/>
      <c r="J27" s="211"/>
      <c r="K27" s="399"/>
      <c r="L27" s="399"/>
      <c r="M27" s="399"/>
      <c r="N27" s="399"/>
      <c r="O27" s="519"/>
      <c r="P27" s="519"/>
      <c r="Q27" s="519">
        <f>'приложение 1.1 '!H28</f>
        <v>0</v>
      </c>
      <c r="R27" s="519">
        <f>Q27*0.05</f>
        <v>0</v>
      </c>
      <c r="S27" s="519">
        <f>Q27*0.4</f>
        <v>0</v>
      </c>
      <c r="T27" s="519">
        <f>Q27*0.5</f>
        <v>0</v>
      </c>
      <c r="U27" s="519">
        <f>Q27-(R27+S27+T27)</f>
        <v>0</v>
      </c>
      <c r="V27" s="399"/>
      <c r="W27" s="399"/>
      <c r="X27" s="399"/>
      <c r="Y27" s="399"/>
      <c r="Z27" s="399" t="str">
        <f>IF(AB27&gt;0,'приложение 1.1 '!G28,"-")</f>
        <v>-</v>
      </c>
      <c r="AA27" s="352"/>
      <c r="AB27" s="399"/>
      <c r="AC27" s="212"/>
      <c r="AD27" s="399"/>
      <c r="AE27" s="399"/>
      <c r="AF27" s="399"/>
      <c r="AG27" s="399"/>
      <c r="AH27" s="213"/>
      <c r="AI27" s="208"/>
    </row>
    <row r="28" spans="1:35" ht="31.5">
      <c r="A28" s="359" t="str">
        <f>'приложение 1.1 '!A29</f>
        <v>1.2.1.</v>
      </c>
      <c r="B28" s="350" t="str">
        <f>'приложение 1.1 '!B29</f>
        <v>Монтаж системы телемеханики на ПС №68 -35/6кВ</v>
      </c>
      <c r="C28" s="400"/>
      <c r="D28" s="400"/>
      <c r="E28" s="400"/>
      <c r="F28" s="400"/>
      <c r="G28" s="399"/>
      <c r="H28" s="400"/>
      <c r="I28" s="399"/>
      <c r="J28" s="211"/>
      <c r="K28" s="400"/>
      <c r="L28" s="400"/>
      <c r="M28" s="400"/>
      <c r="N28" s="400"/>
      <c r="O28" s="203"/>
      <c r="P28" s="519"/>
      <c r="Q28" s="519">
        <f>'приложение 1.1 '!H29</f>
        <v>3.1824600000000003</v>
      </c>
      <c r="R28" s="519">
        <f>Q28*0.05</f>
        <v>0.15912300000000001</v>
      </c>
      <c r="S28" s="519">
        <f>Q28*0.4</f>
        <v>1.2729840000000001</v>
      </c>
      <c r="T28" s="519">
        <f>Q28*0.5</f>
        <v>1.5912300000000001</v>
      </c>
      <c r="U28" s="519">
        <f>Q28-(R28+S28+T28)</f>
        <v>0.15912299999999968</v>
      </c>
      <c r="V28" s="400"/>
      <c r="W28" s="400"/>
      <c r="X28" s="400"/>
      <c r="Y28" s="400"/>
      <c r="Z28" s="399" t="str">
        <f>IF(AB28&gt;0,'приложение 1.1 '!G29,"-")</f>
        <v>-</v>
      </c>
      <c r="AA28" s="354"/>
      <c r="AB28" s="206"/>
      <c r="AC28" s="209"/>
      <c r="AD28" s="206"/>
      <c r="AE28" s="206"/>
      <c r="AF28" s="206"/>
      <c r="AG28" s="206"/>
      <c r="AH28" s="210"/>
      <c r="AI28" s="208"/>
    </row>
    <row r="29" spans="1:35" ht="31.5">
      <c r="A29" s="359" t="str">
        <f>'приложение 1.1 '!A30</f>
        <v>1.2.2.</v>
      </c>
      <c r="B29" s="350" t="str">
        <f>'приложение 1.1 '!B30</f>
        <v>Монтаж системы телемеханики на ПС №121-35/6кВ</v>
      </c>
      <c r="C29" s="482"/>
      <c r="D29" s="482"/>
      <c r="E29" s="482"/>
      <c r="F29" s="482"/>
      <c r="G29" s="481"/>
      <c r="H29" s="482"/>
      <c r="I29" s="481"/>
      <c r="J29" s="211"/>
      <c r="K29" s="482"/>
      <c r="L29" s="482"/>
      <c r="M29" s="482"/>
      <c r="N29" s="482"/>
      <c r="O29" s="203"/>
      <c r="P29" s="519"/>
      <c r="Q29" s="519">
        <f>'приложение 1.1 '!H30</f>
        <v>3.1824600000000003</v>
      </c>
      <c r="R29" s="519">
        <f>Q29*0.05</f>
        <v>0.15912300000000001</v>
      </c>
      <c r="S29" s="519">
        <f>Q29*0.4</f>
        <v>1.2729840000000001</v>
      </c>
      <c r="T29" s="519">
        <f>Q29*0.5</f>
        <v>1.5912300000000001</v>
      </c>
      <c r="U29" s="519">
        <f>Q29-(R29+S29+T29)</f>
        <v>0.15912299999999968</v>
      </c>
      <c r="V29" s="482"/>
      <c r="W29" s="482"/>
      <c r="X29" s="482"/>
      <c r="Y29" s="482"/>
      <c r="Z29" s="481"/>
      <c r="AA29" s="354"/>
      <c r="AB29" s="206"/>
      <c r="AC29" s="209"/>
      <c r="AD29" s="206"/>
      <c r="AE29" s="206"/>
      <c r="AF29" s="206"/>
      <c r="AG29" s="206"/>
      <c r="AH29" s="210"/>
      <c r="AI29" s="208"/>
    </row>
    <row r="30" spans="1:35" s="172" customFormat="1">
      <c r="A30" s="360"/>
      <c r="B30" s="170" t="str">
        <f>'приложение 1.1 '!B31</f>
        <v>Итого по разделу 1.2.</v>
      </c>
      <c r="C30" s="400"/>
      <c r="D30" s="400"/>
      <c r="E30" s="400"/>
      <c r="F30" s="400"/>
      <c r="G30" s="400"/>
      <c r="H30" s="400"/>
      <c r="I30" s="400"/>
      <c r="J30" s="202">
        <f>SUM(J28:J29)</f>
        <v>0</v>
      </c>
      <c r="K30" s="202"/>
      <c r="L30" s="202"/>
      <c r="M30" s="202"/>
      <c r="N30" s="202"/>
      <c r="O30" s="203"/>
      <c r="P30" s="203"/>
      <c r="Q30" s="203">
        <f t="shared" ref="Q30:U30" si="8">SUM(Q28:Q29)</f>
        <v>6.3649200000000006</v>
      </c>
      <c r="R30" s="203">
        <f t="shared" si="8"/>
        <v>0.31824600000000003</v>
      </c>
      <c r="S30" s="203">
        <f t="shared" si="8"/>
        <v>2.5459680000000002</v>
      </c>
      <c r="T30" s="203">
        <f t="shared" si="8"/>
        <v>3.1824600000000003</v>
      </c>
      <c r="U30" s="203">
        <f t="shared" si="8"/>
        <v>0.31824599999999936</v>
      </c>
      <c r="V30" s="202">
        <f t="shared" ref="V30" si="9">SUM(V28:V29)</f>
        <v>0</v>
      </c>
      <c r="W30" s="202">
        <f t="shared" ref="W30" si="10">SUM(W28:W29)</f>
        <v>0</v>
      </c>
      <c r="X30" s="202">
        <f t="shared" ref="X30" si="11">SUM(X28:X29)</f>
        <v>0</v>
      </c>
      <c r="Y30" s="202">
        <f t="shared" ref="Y30" si="12">SUM(Y28:Y29)</f>
        <v>0</v>
      </c>
      <c r="Z30" s="202">
        <f t="shared" ref="Z30" si="13">SUM(Z28:Z29)</f>
        <v>0</v>
      </c>
      <c r="AA30" s="202">
        <f t="shared" ref="AA30" si="14">SUM(AA28:AA29)</f>
        <v>0</v>
      </c>
      <c r="AB30" s="202">
        <f t="shared" ref="AB30" si="15">SUM(AB28:AB29)</f>
        <v>0</v>
      </c>
      <c r="AC30" s="202">
        <f t="shared" ref="AC30" si="16">SUM(AC28:AC29)</f>
        <v>0</v>
      </c>
      <c r="AD30" s="202">
        <f t="shared" ref="AD30" si="17">SUM(AD28:AD29)</f>
        <v>0</v>
      </c>
      <c r="AE30" s="202">
        <f t="shared" ref="AE30" si="18">SUM(AE28:AE29)</f>
        <v>0</v>
      </c>
      <c r="AF30" s="202">
        <f t="shared" ref="AF30" si="19">SUM(AF28:AF29)</f>
        <v>0</v>
      </c>
      <c r="AG30" s="202">
        <f t="shared" ref="AG30" si="20">SUM(AG28:AG29)</f>
        <v>0</v>
      </c>
      <c r="AH30" s="202">
        <f t="shared" ref="AH30" si="21">SUM(AH28:AH29)</f>
        <v>0</v>
      </c>
      <c r="AI30" s="171"/>
    </row>
    <row r="31" spans="1:35" s="172" customFormat="1" ht="37.5" customHeight="1">
      <c r="A31" s="169" t="str">
        <f>'приложение 1.1 '!A32</f>
        <v>1.3.</v>
      </c>
      <c r="B31" s="170" t="str">
        <f>'приложение 1.1 '!B32</f>
        <v>Монтаж системы АИИС КУЭ ПС; РП; ТП; КТПН</v>
      </c>
      <c r="C31" s="400"/>
      <c r="D31" s="400"/>
      <c r="E31" s="400"/>
      <c r="F31" s="400"/>
      <c r="G31" s="400"/>
      <c r="H31" s="400"/>
      <c r="I31" s="400"/>
      <c r="J31" s="202"/>
      <c r="K31" s="221"/>
      <c r="L31" s="221"/>
      <c r="M31" s="221"/>
      <c r="N31" s="224"/>
      <c r="O31" s="203"/>
      <c r="P31" s="203"/>
      <c r="Q31" s="203"/>
      <c r="R31" s="203"/>
      <c r="S31" s="203"/>
      <c r="T31" s="203"/>
      <c r="U31" s="203"/>
      <c r="V31" s="400"/>
      <c r="W31" s="400"/>
      <c r="X31" s="400"/>
      <c r="Y31" s="400"/>
      <c r="Z31" s="399" t="str">
        <f>IF(AB31&gt;0,'приложение 1.1 '!G32,"-")</f>
        <v>-</v>
      </c>
      <c r="AA31" s="401"/>
      <c r="AB31" s="400"/>
      <c r="AC31" s="221"/>
      <c r="AD31" s="400"/>
      <c r="AE31" s="400"/>
      <c r="AF31" s="400"/>
      <c r="AG31" s="400"/>
      <c r="AH31" s="204"/>
      <c r="AI31" s="402"/>
    </row>
    <row r="32" spans="1:35" s="172" customFormat="1" ht="31.5">
      <c r="A32" s="359" t="str">
        <f>'приложение 1.1 '!A33</f>
        <v>1.3.1.</v>
      </c>
      <c r="B32" s="502" t="str">
        <f>'приложение 1.1 '!B33</f>
        <v>Монтаж системы АИИС КУЭ на ПС №68 -35/6кВ</v>
      </c>
      <c r="C32" s="482"/>
      <c r="D32" s="482"/>
      <c r="E32" s="482"/>
      <c r="F32" s="482"/>
      <c r="G32" s="482"/>
      <c r="H32" s="482"/>
      <c r="I32" s="482"/>
      <c r="J32" s="202"/>
      <c r="K32" s="221"/>
      <c r="L32" s="221"/>
      <c r="M32" s="221"/>
      <c r="N32" s="224"/>
      <c r="O32" s="203"/>
      <c r="P32" s="203"/>
      <c r="Q32" s="519">
        <f>'приложение 1.1 '!H33</f>
        <v>0.7575599999999999</v>
      </c>
      <c r="R32" s="519">
        <f t="shared" ref="R32:R33" si="22">Q32*0.05</f>
        <v>3.7877999999999995E-2</v>
      </c>
      <c r="S32" s="519">
        <f t="shared" ref="S32:S33" si="23">Q32*0.4</f>
        <v>0.30302399999999996</v>
      </c>
      <c r="T32" s="519">
        <f t="shared" ref="T32:T33" si="24">Q32*0.5</f>
        <v>0.37877999999999995</v>
      </c>
      <c r="U32" s="519">
        <f t="shared" ref="U32:U33" si="25">Q32-(R32+S32+T32)</f>
        <v>3.7877999999999967E-2</v>
      </c>
      <c r="V32" s="482"/>
      <c r="W32" s="482"/>
      <c r="X32" s="482"/>
      <c r="Y32" s="482"/>
      <c r="Z32" s="481"/>
      <c r="AA32" s="484"/>
      <c r="AB32" s="482"/>
      <c r="AC32" s="221"/>
      <c r="AD32" s="482"/>
      <c r="AE32" s="482"/>
      <c r="AF32" s="482"/>
      <c r="AG32" s="482"/>
      <c r="AH32" s="204"/>
      <c r="AI32" s="483"/>
    </row>
    <row r="33" spans="1:36" s="172" customFormat="1" ht="31.5">
      <c r="A33" s="359" t="str">
        <f>'приложение 1.1 '!A34</f>
        <v>1.3.2.</v>
      </c>
      <c r="B33" s="502" t="str">
        <f>'приложение 1.1 '!B34</f>
        <v>Монтаж системы АИИС КУЭ на ПС №121 -35/6кВ</v>
      </c>
      <c r="C33" s="482"/>
      <c r="D33" s="482"/>
      <c r="E33" s="482"/>
      <c r="F33" s="482"/>
      <c r="G33" s="482"/>
      <c r="H33" s="482"/>
      <c r="I33" s="482"/>
      <c r="J33" s="202"/>
      <c r="K33" s="221"/>
      <c r="L33" s="221"/>
      <c r="M33" s="221"/>
      <c r="N33" s="224"/>
      <c r="O33" s="203"/>
      <c r="P33" s="203"/>
      <c r="Q33" s="519">
        <f>'приложение 1.1 '!H34</f>
        <v>0.7575599999999999</v>
      </c>
      <c r="R33" s="519">
        <f t="shared" si="22"/>
        <v>3.7877999999999995E-2</v>
      </c>
      <c r="S33" s="519">
        <f t="shared" si="23"/>
        <v>0.30302399999999996</v>
      </c>
      <c r="T33" s="519">
        <f t="shared" si="24"/>
        <v>0.37877999999999995</v>
      </c>
      <c r="U33" s="519">
        <f t="shared" si="25"/>
        <v>3.7877999999999967E-2</v>
      </c>
      <c r="V33" s="482"/>
      <c r="W33" s="482"/>
      <c r="X33" s="482"/>
      <c r="Y33" s="482"/>
      <c r="Z33" s="481"/>
      <c r="AA33" s="484"/>
      <c r="AB33" s="482"/>
      <c r="AC33" s="221"/>
      <c r="AD33" s="482"/>
      <c r="AE33" s="482"/>
      <c r="AF33" s="482"/>
      <c r="AG33" s="482"/>
      <c r="AH33" s="204"/>
      <c r="AI33" s="483"/>
    </row>
    <row r="34" spans="1:36" s="172" customFormat="1" collapsed="1">
      <c r="A34" s="360"/>
      <c r="B34" s="170" t="str">
        <f>'приложение 1.1 '!B35</f>
        <v>Итого по разделу 1.3.</v>
      </c>
      <c r="C34" s="400"/>
      <c r="D34" s="400"/>
      <c r="E34" s="400"/>
      <c r="F34" s="400"/>
      <c r="G34" s="400"/>
      <c r="H34" s="400"/>
      <c r="I34" s="400"/>
      <c r="J34" s="205">
        <f t="shared" ref="J34:AH34" si="26">SUM(J32:J33)</f>
        <v>0</v>
      </c>
      <c r="K34" s="205">
        <f t="shared" si="26"/>
        <v>0</v>
      </c>
      <c r="L34" s="205">
        <f t="shared" si="26"/>
        <v>0</v>
      </c>
      <c r="M34" s="205">
        <f t="shared" si="26"/>
        <v>0</v>
      </c>
      <c r="N34" s="205">
        <f t="shared" si="26"/>
        <v>0</v>
      </c>
      <c r="O34" s="203">
        <f t="shared" si="26"/>
        <v>0</v>
      </c>
      <c r="P34" s="203">
        <f t="shared" si="26"/>
        <v>0</v>
      </c>
      <c r="Q34" s="203">
        <f t="shared" si="26"/>
        <v>1.5151199999999998</v>
      </c>
      <c r="R34" s="203">
        <f t="shared" si="26"/>
        <v>7.575599999999999E-2</v>
      </c>
      <c r="S34" s="203">
        <f t="shared" si="26"/>
        <v>0.60604799999999992</v>
      </c>
      <c r="T34" s="203">
        <f t="shared" si="26"/>
        <v>0.7575599999999999</v>
      </c>
      <c r="U34" s="203">
        <f t="shared" si="26"/>
        <v>7.5755999999999935E-2</v>
      </c>
      <c r="V34" s="205">
        <f t="shared" si="26"/>
        <v>0</v>
      </c>
      <c r="W34" s="205">
        <f t="shared" si="26"/>
        <v>0</v>
      </c>
      <c r="X34" s="205">
        <f t="shared" si="26"/>
        <v>0</v>
      </c>
      <c r="Y34" s="205">
        <f t="shared" si="26"/>
        <v>0</v>
      </c>
      <c r="Z34" s="205">
        <f t="shared" si="26"/>
        <v>0</v>
      </c>
      <c r="AA34" s="205">
        <f t="shared" si="26"/>
        <v>0</v>
      </c>
      <c r="AB34" s="205">
        <f t="shared" si="26"/>
        <v>0</v>
      </c>
      <c r="AC34" s="205">
        <f t="shared" si="26"/>
        <v>0</v>
      </c>
      <c r="AD34" s="205">
        <f t="shared" si="26"/>
        <v>0</v>
      </c>
      <c r="AE34" s="205">
        <f t="shared" si="26"/>
        <v>0</v>
      </c>
      <c r="AF34" s="205">
        <f t="shared" si="26"/>
        <v>0</v>
      </c>
      <c r="AG34" s="205">
        <f t="shared" si="26"/>
        <v>0</v>
      </c>
      <c r="AH34" s="205">
        <f t="shared" si="26"/>
        <v>0</v>
      </c>
      <c r="AI34" s="402"/>
    </row>
    <row r="35" spans="1:36" hidden="1" outlineLevel="1">
      <c r="A35" s="360"/>
      <c r="B35" s="170" t="str">
        <f>'приложение 1.1 '!B36</f>
        <v>Новое строительство</v>
      </c>
      <c r="C35" s="399"/>
      <c r="D35" s="399"/>
      <c r="E35" s="399"/>
      <c r="F35" s="399"/>
      <c r="G35" s="399"/>
      <c r="H35" s="399"/>
      <c r="I35" s="399"/>
      <c r="J35" s="202"/>
      <c r="K35" s="221"/>
      <c r="L35" s="221"/>
      <c r="M35" s="221"/>
      <c r="N35" s="224"/>
      <c r="O35" s="221"/>
      <c r="P35" s="221"/>
      <c r="Q35" s="168">
        <f>Q38</f>
        <v>0</v>
      </c>
      <c r="R35" s="168">
        <f>R38</f>
        <v>0</v>
      </c>
      <c r="S35" s="168">
        <f>S38</f>
        <v>0</v>
      </c>
      <c r="T35" s="168">
        <f>T38</f>
        <v>0</v>
      </c>
      <c r="U35" s="168">
        <f>U38</f>
        <v>0</v>
      </c>
      <c r="V35" s="171"/>
      <c r="W35" s="171"/>
      <c r="X35" s="171"/>
      <c r="Y35" s="171"/>
      <c r="Z35" s="399" t="str">
        <f>IF(AB35&gt;0,'приложение 1.1 '!G36,"-")</f>
        <v>-</v>
      </c>
      <c r="AA35" s="353"/>
      <c r="AB35" s="171"/>
      <c r="AC35" s="221">
        <f>AC38</f>
        <v>0</v>
      </c>
      <c r="AD35" s="221"/>
      <c r="AE35" s="221"/>
      <c r="AF35" s="221"/>
      <c r="AG35" s="221"/>
      <c r="AH35" s="204">
        <f>AH38</f>
        <v>0</v>
      </c>
      <c r="AI35" s="174"/>
    </row>
    <row r="36" spans="1:36" ht="31.5" hidden="1" outlineLevel="1">
      <c r="A36" s="169" t="str">
        <f>'приложение 1.1 '!A37</f>
        <v>2.1.</v>
      </c>
      <c r="B36" s="170" t="str">
        <f>'приложение 1.1 '!B37</f>
        <v>Энергосбережение и повышение энергетической эффективности</v>
      </c>
      <c r="C36" s="399"/>
      <c r="D36" s="399"/>
      <c r="E36" s="399"/>
      <c r="F36" s="399"/>
      <c r="G36" s="399"/>
      <c r="H36" s="399"/>
      <c r="I36" s="399"/>
      <c r="J36" s="211"/>
      <c r="K36" s="212"/>
      <c r="L36" s="212"/>
      <c r="M36" s="212"/>
      <c r="N36" s="356"/>
      <c r="O36" s="212"/>
      <c r="P36" s="212"/>
      <c r="Q36" s="207"/>
      <c r="R36" s="207"/>
      <c r="S36" s="207"/>
      <c r="T36" s="207"/>
      <c r="U36" s="207"/>
      <c r="V36" s="399"/>
      <c r="W36" s="399"/>
      <c r="X36" s="399"/>
      <c r="Y36" s="399"/>
      <c r="Z36" s="399" t="str">
        <f>IF(AB36&gt;0,'приложение 1.1 '!G37,"-")</f>
        <v>-</v>
      </c>
      <c r="AA36" s="352"/>
      <c r="AB36" s="399"/>
      <c r="AC36" s="212">
        <f>'приложение 1.1 '!E37</f>
        <v>0</v>
      </c>
      <c r="AD36" s="399" t="str">
        <f>IF(AG36&gt;0,'приложение 1.1 '!G37,"-")</f>
        <v>-</v>
      </c>
      <c r="AE36" s="399"/>
      <c r="AF36" s="399"/>
      <c r="AG36" s="399"/>
      <c r="AH36" s="213">
        <f>'приложение 1.1 '!D37</f>
        <v>0</v>
      </c>
      <c r="AI36" s="208"/>
    </row>
    <row r="37" spans="1:36" s="364" customFormat="1" ht="33.75" hidden="1" customHeight="1" outlineLevel="1">
      <c r="A37" s="169" t="str">
        <f>'приложение 1.1 '!A38</f>
        <v>2.1.1.</v>
      </c>
      <c r="B37" s="394" t="str">
        <f>'приложение 1.1 '!B38</f>
        <v>Подстанции 35/ 6/10кВ</v>
      </c>
      <c r="C37" s="399"/>
      <c r="D37" s="399"/>
      <c r="E37" s="399"/>
      <c r="F37" s="399"/>
      <c r="G37" s="399"/>
      <c r="H37" s="399"/>
      <c r="I37" s="399"/>
      <c r="J37" s="211"/>
      <c r="K37" s="212"/>
      <c r="L37" s="212"/>
      <c r="M37" s="212"/>
      <c r="N37" s="356"/>
      <c r="O37" s="212"/>
      <c r="P37" s="212"/>
      <c r="Q37" s="207">
        <f>'приложение 1.1 '!H38/1000</f>
        <v>0</v>
      </c>
      <c r="R37" s="207">
        <f t="shared" ref="R37" si="27">Q37*0.05</f>
        <v>0</v>
      </c>
      <c r="S37" s="207">
        <f>Q37*0.4</f>
        <v>0</v>
      </c>
      <c r="T37" s="207">
        <f>Q37*0.5</f>
        <v>0</v>
      </c>
      <c r="U37" s="207">
        <f>Q37-(R37+S37+T37)</f>
        <v>0</v>
      </c>
      <c r="V37" s="399"/>
      <c r="W37" s="399"/>
      <c r="X37" s="399"/>
      <c r="Y37" s="399"/>
      <c r="Z37" s="399"/>
      <c r="AA37" s="352"/>
      <c r="AB37" s="399"/>
      <c r="AC37" s="212"/>
      <c r="AD37" s="399"/>
      <c r="AE37" s="399"/>
      <c r="AF37" s="399"/>
      <c r="AG37" s="399"/>
      <c r="AH37" s="213"/>
      <c r="AI37" s="208"/>
      <c r="AJ37" s="200"/>
    </row>
    <row r="38" spans="1:36" ht="30" hidden="1" customHeight="1" outlineLevel="1">
      <c r="A38" s="399"/>
      <c r="B38" s="167" t="s">
        <v>294</v>
      </c>
      <c r="C38" s="400"/>
      <c r="D38" s="400"/>
      <c r="E38" s="400"/>
      <c r="F38" s="400"/>
      <c r="G38" s="400"/>
      <c r="H38" s="400"/>
      <c r="I38" s="400"/>
      <c r="J38" s="202">
        <f>SUM(J36:J37)</f>
        <v>0</v>
      </c>
      <c r="K38" s="221"/>
      <c r="L38" s="221"/>
      <c r="M38" s="221"/>
      <c r="N38" s="224"/>
      <c r="O38" s="221"/>
      <c r="P38" s="221"/>
      <c r="Q38" s="168">
        <f>SUM(Q37:Q37)</f>
        <v>0</v>
      </c>
      <c r="R38" s="168">
        <f>SUM(R37:R37)</f>
        <v>0</v>
      </c>
      <c r="S38" s="168">
        <f>SUM(S37:S37)</f>
        <v>0</v>
      </c>
      <c r="T38" s="168">
        <f>SUM(T37:T37)</f>
        <v>0</v>
      </c>
      <c r="U38" s="168">
        <f>SUM(U37:U37)</f>
        <v>0</v>
      </c>
      <c r="V38" s="171"/>
      <c r="W38" s="171"/>
      <c r="X38" s="171"/>
      <c r="Y38" s="171"/>
      <c r="Z38" s="171"/>
      <c r="AA38" s="353"/>
      <c r="AB38" s="171"/>
      <c r="AC38" s="205">
        <f>SUM(AC37:AC37)</f>
        <v>0</v>
      </c>
      <c r="AD38" s="205"/>
      <c r="AE38" s="205"/>
      <c r="AF38" s="205"/>
      <c r="AG38" s="205"/>
      <c r="AH38" s="205">
        <f>SUM(AH37:AH37)</f>
        <v>0</v>
      </c>
      <c r="AI38" s="208"/>
    </row>
    <row r="40" spans="1:36">
      <c r="A40" s="175" t="s">
        <v>508</v>
      </c>
      <c r="B40" s="200" t="s">
        <v>507</v>
      </c>
    </row>
    <row r="41" spans="1:36">
      <c r="A41" s="175" t="s">
        <v>510</v>
      </c>
      <c r="B41" s="53" t="s">
        <v>509</v>
      </c>
    </row>
    <row r="42" spans="1:36">
      <c r="Q42" s="218" t="s">
        <v>290</v>
      </c>
      <c r="R42" s="218"/>
      <c r="U42" s="218" t="s">
        <v>290</v>
      </c>
    </row>
  </sheetData>
  <customSheetViews>
    <customSheetView guid="{8313A758-6764-4FAF-B5C3-0AC63E11C07D}" scale="75" showPageBreaks="1" fitToPage="1" hiddenRows="1" hiddenColumns="1" view="pageBreakPreview">
      <selection activeCell="J18" sqref="J18"/>
      <pageMargins left="0.55118110236220474" right="0.31496062992125984" top="0.35433070866141736" bottom="0.59055118110236227" header="0.31496062992125984" footer="0.31496062992125984"/>
      <pageSetup paperSize="8" scale="43" fitToHeight="24" orientation="landscape" r:id="rId1"/>
      <headerFooter>
        <oddFooter>&amp;R&amp;P</oddFooter>
      </headerFooter>
    </customSheetView>
    <customSheetView guid="{39750778-B4CA-4A61-A93E-2C57443220F3}" scale="75" showPageBreaks="1" fitToPage="1" hiddenRows="1" hiddenColumns="1" view="pageBreakPreview">
      <selection activeCell="Z23" sqref="Z23"/>
      <pageMargins left="0.55118110236220474" right="0.31496062992125984" top="0.35433070866141736" bottom="0.59055118110236227" header="0.31496062992125984" footer="0.31496062992125984"/>
      <pageSetup paperSize="8" scale="29" fitToHeight="24" orientation="landscape" r:id="rId2"/>
      <headerFooter>
        <oddFooter>&amp;R&amp;P</oddFooter>
      </headerFooter>
    </customSheetView>
  </customSheetViews>
  <mergeCells count="15">
    <mergeCell ref="AI15:AI16"/>
    <mergeCell ref="A5:AI5"/>
    <mergeCell ref="A6:AI6"/>
    <mergeCell ref="A14:A16"/>
    <mergeCell ref="B14:B16"/>
    <mergeCell ref="C14:P14"/>
    <mergeCell ref="Q14:U15"/>
    <mergeCell ref="V14:AI14"/>
    <mergeCell ref="C15:F15"/>
    <mergeCell ref="AD15:AH15"/>
    <mergeCell ref="G15:J15"/>
    <mergeCell ref="P15:P16"/>
    <mergeCell ref="V15:Y15"/>
    <mergeCell ref="Z15:AC15"/>
    <mergeCell ref="K15:O15"/>
  </mergeCells>
  <phoneticPr fontId="41" type="noConversion"/>
  <pageMargins left="0.55118110236220474" right="0.31496062992125984" top="0.74803149606299213" bottom="0.59055118110236227" header="0.31496062992125984" footer="0.31496062992125984"/>
  <pageSetup paperSize="8" scale="43" fitToHeight="24" orientation="landscape" r:id="rId3"/>
  <headerFoot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45"/>
  <sheetViews>
    <sheetView view="pageBreakPreview" topLeftCell="C1" zoomScale="70" zoomScaleNormal="80" zoomScaleSheetLayoutView="70" workbookViewId="0">
      <selection activeCell="AP17" sqref="AP17"/>
    </sheetView>
  </sheetViews>
  <sheetFormatPr defaultRowHeight="15.75" outlineLevelRow="1"/>
  <cols>
    <col min="1" max="1" width="9" style="223"/>
    <col min="2" max="2" width="43.875" style="200" customWidth="1"/>
    <col min="3" max="26" width="6.625" style="200" customWidth="1"/>
    <col min="27" max="27" width="13.875" style="200" customWidth="1"/>
    <col min="28" max="35" width="6.625" style="200" customWidth="1"/>
    <col min="36" max="37" width="6.625" style="416" customWidth="1"/>
    <col min="38" max="40" width="6.625" style="200" customWidth="1"/>
    <col min="41" max="41" width="7.75" style="200" customWidth="1"/>
    <col min="42" max="42" width="8.375" style="200" customWidth="1"/>
    <col min="43" max="45" width="10" style="200" customWidth="1"/>
    <col min="46" max="46" width="10.875" style="200" customWidth="1"/>
    <col min="47" max="47" width="11.5" style="200" customWidth="1"/>
    <col min="48" max="16384" width="9" style="200"/>
  </cols>
  <sheetData>
    <row r="1" spans="1:47" ht="18.75">
      <c r="A1" s="176"/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54"/>
      <c r="P1" s="154"/>
      <c r="Q1" s="154"/>
      <c r="AU1" s="177" t="s">
        <v>589</v>
      </c>
    </row>
    <row r="2" spans="1:47" ht="18.75">
      <c r="A2" s="176"/>
      <c r="B2" s="164"/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54"/>
      <c r="P2" s="154"/>
      <c r="Q2" s="154"/>
      <c r="R2" s="53"/>
      <c r="S2" s="53"/>
      <c r="T2" s="53"/>
      <c r="U2" s="53"/>
      <c r="V2" s="53"/>
      <c r="AU2" s="177" t="s">
        <v>433</v>
      </c>
    </row>
    <row r="3" spans="1:47" ht="18.75">
      <c r="A3" s="176"/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54"/>
      <c r="P3" s="154"/>
      <c r="Q3" s="154"/>
      <c r="AU3" s="177" t="s">
        <v>590</v>
      </c>
    </row>
    <row r="4" spans="1:47" ht="18.75">
      <c r="A4" s="876" t="s">
        <v>498</v>
      </c>
      <c r="B4" s="876"/>
      <c r="C4" s="876"/>
      <c r="D4" s="876"/>
      <c r="E4" s="876"/>
      <c r="F4" s="876"/>
      <c r="G4" s="876"/>
      <c r="H4" s="876"/>
      <c r="I4" s="876"/>
      <c r="J4" s="876"/>
      <c r="K4" s="876"/>
      <c r="L4" s="876"/>
      <c r="M4" s="876"/>
      <c r="N4" s="876"/>
      <c r="O4" s="876"/>
      <c r="P4" s="876"/>
      <c r="Q4" s="876"/>
      <c r="R4" s="876"/>
      <c r="S4" s="876"/>
      <c r="T4" s="876"/>
      <c r="U4" s="876"/>
      <c r="V4" s="876"/>
      <c r="W4" s="876"/>
      <c r="X4" s="876"/>
      <c r="Y4" s="876"/>
      <c r="Z4" s="876"/>
      <c r="AA4" s="876"/>
      <c r="AB4" s="876"/>
      <c r="AC4" s="876"/>
      <c r="AD4" s="876"/>
      <c r="AE4" s="876"/>
      <c r="AF4" s="876"/>
      <c r="AG4" s="876"/>
      <c r="AH4" s="876"/>
      <c r="AI4" s="876"/>
      <c r="AJ4" s="876"/>
      <c r="AK4" s="876"/>
      <c r="AL4" s="876"/>
      <c r="AM4" s="876"/>
      <c r="AN4" s="876"/>
      <c r="AO4" s="876"/>
      <c r="AP4" s="876"/>
      <c r="AQ4" s="876"/>
      <c r="AR4" s="876"/>
      <c r="AS4" s="876"/>
      <c r="AT4" s="876"/>
      <c r="AU4" s="876"/>
    </row>
    <row r="5" spans="1:47" ht="18.75">
      <c r="A5" s="876" t="s">
        <v>616</v>
      </c>
      <c r="B5" s="876"/>
      <c r="C5" s="876"/>
      <c r="D5" s="876"/>
      <c r="E5" s="876"/>
      <c r="F5" s="876"/>
      <c r="G5" s="876"/>
      <c r="H5" s="876"/>
      <c r="I5" s="876"/>
      <c r="J5" s="876"/>
      <c r="K5" s="876"/>
      <c r="L5" s="876"/>
      <c r="M5" s="876"/>
      <c r="N5" s="876"/>
      <c r="O5" s="876"/>
      <c r="P5" s="876"/>
      <c r="Q5" s="876"/>
      <c r="R5" s="876"/>
      <c r="S5" s="876"/>
      <c r="T5" s="876"/>
      <c r="U5" s="876"/>
      <c r="V5" s="876"/>
      <c r="W5" s="876"/>
      <c r="X5" s="876"/>
      <c r="Y5" s="876"/>
      <c r="Z5" s="876"/>
      <c r="AA5" s="876"/>
      <c r="AB5" s="876"/>
      <c r="AC5" s="876"/>
      <c r="AD5" s="876"/>
      <c r="AE5" s="876"/>
      <c r="AF5" s="876"/>
      <c r="AG5" s="876"/>
      <c r="AH5" s="876"/>
      <c r="AI5" s="876"/>
      <c r="AJ5" s="876"/>
      <c r="AK5" s="876"/>
      <c r="AL5" s="876"/>
      <c r="AM5" s="876"/>
      <c r="AN5" s="876"/>
      <c r="AO5" s="876"/>
      <c r="AP5" s="876"/>
      <c r="AQ5" s="876"/>
      <c r="AR5" s="876"/>
      <c r="AS5" s="876"/>
      <c r="AT5" s="876"/>
      <c r="AU5" s="876"/>
    </row>
    <row r="6" spans="1:47" ht="18.75">
      <c r="A6" s="176"/>
      <c r="B6" s="164"/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54"/>
      <c r="P6" s="154"/>
      <c r="Q6" s="154"/>
      <c r="AU6" s="707" t="s">
        <v>296</v>
      </c>
    </row>
    <row r="7" spans="1:47" ht="18.75">
      <c r="A7" s="176"/>
      <c r="B7" s="164"/>
      <c r="C7" s="164"/>
      <c r="D7" s="164"/>
      <c r="E7" s="164"/>
      <c r="F7" s="164"/>
      <c r="G7" s="164"/>
      <c r="H7" s="164"/>
      <c r="I7" s="164"/>
      <c r="J7" s="164"/>
      <c r="K7" s="164"/>
      <c r="L7" s="164"/>
      <c r="M7" s="164"/>
      <c r="N7" s="164"/>
      <c r="O7" s="154"/>
      <c r="P7" s="154"/>
      <c r="Q7" s="154"/>
      <c r="AB7" s="548"/>
      <c r="AU7" s="729" t="s">
        <v>615</v>
      </c>
    </row>
    <row r="8" spans="1:47" ht="18.75">
      <c r="A8" s="176"/>
      <c r="B8" s="164"/>
      <c r="C8" s="164"/>
      <c r="D8" s="164"/>
      <c r="E8" s="164"/>
      <c r="F8" s="164"/>
      <c r="G8" s="164"/>
      <c r="H8" s="164"/>
      <c r="I8" s="164"/>
      <c r="J8" s="164"/>
      <c r="K8" s="164"/>
      <c r="L8" s="164"/>
      <c r="M8" s="164"/>
      <c r="N8" s="164"/>
      <c r="O8" s="154"/>
      <c r="P8" s="154"/>
      <c r="Q8" s="154"/>
      <c r="AU8" s="707" t="s">
        <v>614</v>
      </c>
    </row>
    <row r="9" spans="1:47" ht="18.75">
      <c r="A9" s="176"/>
      <c r="B9" s="164"/>
      <c r="O9" s="178"/>
      <c r="P9" s="178"/>
      <c r="Q9" s="178"/>
      <c r="AT9" s="418"/>
      <c r="AU9" s="707" t="s">
        <v>656</v>
      </c>
    </row>
    <row r="10" spans="1:47" ht="18.75">
      <c r="A10" s="176"/>
      <c r="B10" s="164"/>
      <c r="C10" s="164"/>
      <c r="D10" s="164"/>
      <c r="E10" s="164"/>
      <c r="F10" s="164"/>
      <c r="G10" s="164"/>
      <c r="H10" s="164"/>
      <c r="I10" s="164"/>
      <c r="J10" s="164"/>
      <c r="K10" s="164"/>
      <c r="L10" s="164"/>
      <c r="M10" s="164"/>
      <c r="N10" s="164"/>
      <c r="O10" s="154"/>
      <c r="P10" s="154"/>
      <c r="Q10" s="154"/>
      <c r="AU10" s="707" t="s">
        <v>173</v>
      </c>
    </row>
    <row r="11" spans="1:47" ht="18.75">
      <c r="A11" s="176"/>
      <c r="B11" s="164"/>
      <c r="C11" s="164"/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54"/>
      <c r="P11" s="154"/>
      <c r="Q11" s="154"/>
      <c r="R11" s="222"/>
      <c r="S11" s="222"/>
      <c r="T11" s="222"/>
      <c r="U11" s="222"/>
      <c r="V11" s="222"/>
    </row>
    <row r="13" spans="1:47" ht="33" customHeight="1">
      <c r="A13" s="878" t="s">
        <v>250</v>
      </c>
      <c r="B13" s="877" t="s">
        <v>91</v>
      </c>
      <c r="C13" s="879" t="s">
        <v>81</v>
      </c>
      <c r="D13" s="880"/>
      <c r="E13" s="880"/>
      <c r="F13" s="880"/>
      <c r="G13" s="880"/>
      <c r="H13" s="880"/>
      <c r="I13" s="880"/>
      <c r="J13" s="880"/>
      <c r="K13" s="880"/>
      <c r="L13" s="880"/>
      <c r="M13" s="880"/>
      <c r="N13" s="881"/>
      <c r="O13" s="879" t="s">
        <v>154</v>
      </c>
      <c r="P13" s="880"/>
      <c r="Q13" s="880"/>
      <c r="R13" s="880"/>
      <c r="S13" s="880"/>
      <c r="T13" s="880"/>
      <c r="U13" s="880"/>
      <c r="V13" s="880"/>
      <c r="W13" s="880"/>
      <c r="X13" s="880"/>
      <c r="Y13" s="880"/>
      <c r="Z13" s="881"/>
      <c r="AA13" s="882" t="s">
        <v>506</v>
      </c>
      <c r="AB13" s="885" t="s">
        <v>499</v>
      </c>
      <c r="AC13" s="886"/>
      <c r="AD13" s="886"/>
      <c r="AE13" s="886"/>
      <c r="AF13" s="886"/>
      <c r="AG13" s="886"/>
      <c r="AH13" s="886"/>
      <c r="AI13" s="886"/>
      <c r="AJ13" s="886"/>
      <c r="AK13" s="886"/>
      <c r="AL13" s="886"/>
      <c r="AM13" s="886"/>
      <c r="AN13" s="886"/>
      <c r="AO13" s="886"/>
      <c r="AP13" s="886"/>
      <c r="AQ13" s="886"/>
      <c r="AR13" s="886"/>
      <c r="AS13" s="886"/>
      <c r="AT13" s="886"/>
      <c r="AU13" s="887"/>
    </row>
    <row r="14" spans="1:47" ht="18.75">
      <c r="A14" s="878"/>
      <c r="B14" s="877"/>
      <c r="C14" s="219" t="s">
        <v>413</v>
      </c>
      <c r="D14" s="220" t="s">
        <v>2</v>
      </c>
      <c r="E14" s="219" t="s">
        <v>413</v>
      </c>
      <c r="F14" s="220" t="s">
        <v>2</v>
      </c>
      <c r="G14" s="219" t="s">
        <v>413</v>
      </c>
      <c r="H14" s="220" t="s">
        <v>2</v>
      </c>
      <c r="I14" s="219" t="s">
        <v>413</v>
      </c>
      <c r="J14" s="220" t="s">
        <v>2</v>
      </c>
      <c r="K14" s="219" t="s">
        <v>413</v>
      </c>
      <c r="L14" s="220" t="s">
        <v>2</v>
      </c>
      <c r="M14" s="219" t="s">
        <v>413</v>
      </c>
      <c r="N14" s="220" t="s">
        <v>2</v>
      </c>
      <c r="O14" s="219" t="s">
        <v>413</v>
      </c>
      <c r="P14" s="220" t="s">
        <v>2</v>
      </c>
      <c r="Q14" s="219" t="s">
        <v>413</v>
      </c>
      <c r="R14" s="220" t="s">
        <v>2</v>
      </c>
      <c r="S14" s="219" t="s">
        <v>413</v>
      </c>
      <c r="T14" s="220" t="s">
        <v>2</v>
      </c>
      <c r="U14" s="219" t="s">
        <v>413</v>
      </c>
      <c r="V14" s="220" t="s">
        <v>2</v>
      </c>
      <c r="W14" s="219" t="s">
        <v>413</v>
      </c>
      <c r="X14" s="220" t="s">
        <v>2</v>
      </c>
      <c r="Y14" s="219" t="s">
        <v>413</v>
      </c>
      <c r="Z14" s="220" t="s">
        <v>2</v>
      </c>
      <c r="AA14" s="883"/>
      <c r="AB14" s="423" t="s">
        <v>413</v>
      </c>
      <c r="AC14" s="424" t="s">
        <v>2</v>
      </c>
      <c r="AD14" s="423" t="s">
        <v>413</v>
      </c>
      <c r="AE14" s="424" t="s">
        <v>2</v>
      </c>
      <c r="AF14" s="423" t="s">
        <v>413</v>
      </c>
      <c r="AG14" s="424" t="s">
        <v>2</v>
      </c>
      <c r="AH14" s="423" t="s">
        <v>413</v>
      </c>
      <c r="AI14" s="424" t="s">
        <v>2</v>
      </c>
      <c r="AJ14" s="423" t="s">
        <v>413</v>
      </c>
      <c r="AK14" s="424" t="s">
        <v>2</v>
      </c>
      <c r="AL14" s="896" t="s">
        <v>500</v>
      </c>
      <c r="AM14" s="897"/>
      <c r="AN14" s="897"/>
      <c r="AO14" s="897"/>
      <c r="AP14" s="898"/>
      <c r="AQ14" s="348" t="s">
        <v>500</v>
      </c>
      <c r="AR14" s="348" t="s">
        <v>500</v>
      </c>
      <c r="AS14" s="348" t="s">
        <v>500</v>
      </c>
      <c r="AT14" s="348" t="s">
        <v>500</v>
      </c>
      <c r="AU14" s="348" t="s">
        <v>500</v>
      </c>
    </row>
    <row r="15" spans="1:47" ht="59.25" customHeight="1">
      <c r="A15" s="878"/>
      <c r="B15" s="877"/>
      <c r="C15" s="888">
        <v>2016</v>
      </c>
      <c r="D15" s="888"/>
      <c r="E15" s="888">
        <v>2017</v>
      </c>
      <c r="F15" s="888"/>
      <c r="G15" s="899">
        <v>2018</v>
      </c>
      <c r="H15" s="900"/>
      <c r="I15" s="899">
        <v>2019</v>
      </c>
      <c r="J15" s="900"/>
      <c r="K15" s="888">
        <v>2020</v>
      </c>
      <c r="L15" s="888"/>
      <c r="M15" s="879" t="s">
        <v>289</v>
      </c>
      <c r="N15" s="881"/>
      <c r="O15" s="888">
        <v>2016</v>
      </c>
      <c r="P15" s="888"/>
      <c r="Q15" s="888">
        <v>2017</v>
      </c>
      <c r="R15" s="888"/>
      <c r="S15" s="899">
        <v>2018</v>
      </c>
      <c r="T15" s="900"/>
      <c r="U15" s="899">
        <v>2019</v>
      </c>
      <c r="V15" s="900"/>
      <c r="W15" s="888">
        <v>2020</v>
      </c>
      <c r="X15" s="888"/>
      <c r="Y15" s="888" t="s">
        <v>289</v>
      </c>
      <c r="Z15" s="888"/>
      <c r="AA15" s="884"/>
      <c r="AB15" s="877" t="s">
        <v>658</v>
      </c>
      <c r="AC15" s="889"/>
      <c r="AD15" s="877" t="s">
        <v>659</v>
      </c>
      <c r="AE15" s="889"/>
      <c r="AF15" s="877" t="s">
        <v>659</v>
      </c>
      <c r="AG15" s="889"/>
      <c r="AH15" s="877" t="s">
        <v>660</v>
      </c>
      <c r="AI15" s="889"/>
      <c r="AJ15" s="877" t="s">
        <v>661</v>
      </c>
      <c r="AK15" s="889"/>
      <c r="AL15" s="462" t="s">
        <v>662</v>
      </c>
      <c r="AM15" s="462" t="s">
        <v>663</v>
      </c>
      <c r="AN15" s="462" t="s">
        <v>664</v>
      </c>
      <c r="AO15" s="462" t="s">
        <v>665</v>
      </c>
      <c r="AP15" s="462" t="s">
        <v>666</v>
      </c>
      <c r="AQ15" s="469" t="s">
        <v>667</v>
      </c>
      <c r="AR15" s="494" t="s">
        <v>547</v>
      </c>
      <c r="AS15" s="494" t="s">
        <v>564</v>
      </c>
      <c r="AT15" s="494" t="s">
        <v>565</v>
      </c>
      <c r="AU15" s="469" t="s">
        <v>82</v>
      </c>
    </row>
    <row r="16" spans="1:47" s="179" customFormat="1">
      <c r="A16" s="463">
        <v>1</v>
      </c>
      <c r="B16" s="464">
        <v>2</v>
      </c>
      <c r="C16" s="890">
        <v>3</v>
      </c>
      <c r="D16" s="890"/>
      <c r="E16" s="890">
        <v>4</v>
      </c>
      <c r="F16" s="890"/>
      <c r="G16" s="891">
        <v>5</v>
      </c>
      <c r="H16" s="892"/>
      <c r="I16" s="891">
        <v>6</v>
      </c>
      <c r="J16" s="892"/>
      <c r="K16" s="890">
        <v>7</v>
      </c>
      <c r="L16" s="890"/>
      <c r="M16" s="891">
        <v>8</v>
      </c>
      <c r="N16" s="892"/>
      <c r="O16" s="893">
        <v>9</v>
      </c>
      <c r="P16" s="893"/>
      <c r="Q16" s="893">
        <v>10</v>
      </c>
      <c r="R16" s="893"/>
      <c r="S16" s="894">
        <v>11</v>
      </c>
      <c r="T16" s="895"/>
      <c r="U16" s="894">
        <v>12</v>
      </c>
      <c r="V16" s="895"/>
      <c r="W16" s="893">
        <v>13</v>
      </c>
      <c r="X16" s="893"/>
      <c r="Y16" s="893">
        <v>14</v>
      </c>
      <c r="Z16" s="894"/>
      <c r="AA16" s="470">
        <v>15</v>
      </c>
      <c r="AB16" s="894">
        <v>16</v>
      </c>
      <c r="AC16" s="895"/>
      <c r="AD16" s="894">
        <v>17</v>
      </c>
      <c r="AE16" s="895"/>
      <c r="AF16" s="894">
        <v>18</v>
      </c>
      <c r="AG16" s="895"/>
      <c r="AH16" s="894">
        <v>19</v>
      </c>
      <c r="AI16" s="895"/>
      <c r="AJ16" s="894">
        <v>20</v>
      </c>
      <c r="AK16" s="895"/>
      <c r="AL16" s="464">
        <v>21</v>
      </c>
      <c r="AM16" s="464">
        <v>22</v>
      </c>
      <c r="AN16" s="464">
        <v>23</v>
      </c>
      <c r="AO16" s="464">
        <v>24</v>
      </c>
      <c r="AP16" s="464">
        <v>25</v>
      </c>
      <c r="AQ16" s="464">
        <v>26</v>
      </c>
      <c r="AR16" s="493">
        <v>27</v>
      </c>
      <c r="AS16" s="493">
        <v>28</v>
      </c>
      <c r="AT16" s="493">
        <v>29</v>
      </c>
      <c r="AU16" s="493">
        <v>30</v>
      </c>
    </row>
    <row r="17" spans="1:47" s="192" customFormat="1">
      <c r="A17" s="191"/>
      <c r="B17" s="469" t="s">
        <v>236</v>
      </c>
      <c r="C17" s="203">
        <f t="shared" ref="C17:AT17" si="0">C18+C34</f>
        <v>0</v>
      </c>
      <c r="D17" s="203">
        <f t="shared" si="0"/>
        <v>0</v>
      </c>
      <c r="E17" s="203">
        <f t="shared" si="0"/>
        <v>20</v>
      </c>
      <c r="F17" s="203">
        <f t="shared" si="0"/>
        <v>0</v>
      </c>
      <c r="G17" s="203">
        <f t="shared" si="0"/>
        <v>10</v>
      </c>
      <c r="H17" s="203">
        <f t="shared" si="0"/>
        <v>0</v>
      </c>
      <c r="I17" s="203">
        <f t="shared" si="0"/>
        <v>10</v>
      </c>
      <c r="J17" s="203">
        <f t="shared" si="0"/>
        <v>13.353999999999999</v>
      </c>
      <c r="K17" s="203">
        <f t="shared" si="0"/>
        <v>0</v>
      </c>
      <c r="L17" s="203">
        <f t="shared" si="0"/>
        <v>0</v>
      </c>
      <c r="M17" s="203">
        <f t="shared" si="0"/>
        <v>40</v>
      </c>
      <c r="N17" s="203">
        <f t="shared" si="0"/>
        <v>13.353999999999999</v>
      </c>
      <c r="O17" s="203">
        <f t="shared" si="0"/>
        <v>0</v>
      </c>
      <c r="P17" s="203">
        <f t="shared" si="0"/>
        <v>0</v>
      </c>
      <c r="Q17" s="203">
        <f t="shared" si="0"/>
        <v>8</v>
      </c>
      <c r="R17" s="203">
        <f t="shared" si="0"/>
        <v>0</v>
      </c>
      <c r="S17" s="203">
        <f t="shared" si="0"/>
        <v>4</v>
      </c>
      <c r="T17" s="203">
        <f t="shared" si="0"/>
        <v>0</v>
      </c>
      <c r="U17" s="203">
        <f t="shared" si="0"/>
        <v>0</v>
      </c>
      <c r="V17" s="203">
        <f t="shared" si="0"/>
        <v>13.353999999999999</v>
      </c>
      <c r="W17" s="203">
        <f t="shared" si="0"/>
        <v>0</v>
      </c>
      <c r="X17" s="203">
        <f t="shared" si="0"/>
        <v>0</v>
      </c>
      <c r="Y17" s="203">
        <f t="shared" si="0"/>
        <v>12</v>
      </c>
      <c r="Z17" s="542">
        <f t="shared" si="0"/>
        <v>13.353999999999999</v>
      </c>
      <c r="AA17" s="542">
        <f t="shared" si="0"/>
        <v>147.53765361440679</v>
      </c>
      <c r="AB17" s="521">
        <f t="shared" si="0"/>
        <v>0</v>
      </c>
      <c r="AC17" s="521">
        <f t="shared" si="0"/>
        <v>0</v>
      </c>
      <c r="AD17" s="521">
        <f t="shared" si="0"/>
        <v>0</v>
      </c>
      <c r="AE17" s="521">
        <f t="shared" si="0"/>
        <v>0</v>
      </c>
      <c r="AF17" s="521">
        <f t="shared" si="0"/>
        <v>0</v>
      </c>
      <c r="AG17" s="521">
        <f t="shared" si="0"/>
        <v>0</v>
      </c>
      <c r="AH17" s="521">
        <f t="shared" si="0"/>
        <v>20</v>
      </c>
      <c r="AI17" s="521">
        <f t="shared" si="0"/>
        <v>0</v>
      </c>
      <c r="AJ17" s="521">
        <f t="shared" si="0"/>
        <v>20</v>
      </c>
      <c r="AK17" s="521">
        <f t="shared" si="0"/>
        <v>0</v>
      </c>
      <c r="AL17" s="521">
        <f t="shared" si="0"/>
        <v>0</v>
      </c>
      <c r="AM17" s="521">
        <f t="shared" si="0"/>
        <v>0</v>
      </c>
      <c r="AN17" s="521">
        <f t="shared" si="0"/>
        <v>0</v>
      </c>
      <c r="AO17" s="521">
        <f t="shared" si="0"/>
        <v>44.750319999999995</v>
      </c>
      <c r="AP17" s="521">
        <f t="shared" si="0"/>
        <v>44.750319999999995</v>
      </c>
      <c r="AQ17" s="521">
        <f t="shared" si="0"/>
        <v>11.366082</v>
      </c>
      <c r="AR17" s="521">
        <f t="shared" si="0"/>
        <v>57.067484629999996</v>
      </c>
      <c r="AS17" s="521">
        <f t="shared" si="0"/>
        <v>57.901544635</v>
      </c>
      <c r="AT17" s="521">
        <f t="shared" si="0"/>
        <v>3.0090000000000003</v>
      </c>
      <c r="AU17" s="525">
        <f>SUM(AP17:AT17)</f>
        <v>174.09443126499997</v>
      </c>
    </row>
    <row r="18" spans="1:47" ht="36.75" customHeight="1">
      <c r="A18" s="462">
        <v>1</v>
      </c>
      <c r="B18" s="180" t="s">
        <v>163</v>
      </c>
      <c r="C18" s="203">
        <f t="shared" ref="C18:AT18" si="1">C25+C29+C33</f>
        <v>0</v>
      </c>
      <c r="D18" s="203">
        <f t="shared" si="1"/>
        <v>0</v>
      </c>
      <c r="E18" s="203">
        <f t="shared" si="1"/>
        <v>20</v>
      </c>
      <c r="F18" s="203">
        <f t="shared" si="1"/>
        <v>0</v>
      </c>
      <c r="G18" s="203">
        <f t="shared" si="1"/>
        <v>10</v>
      </c>
      <c r="H18" s="203">
        <f t="shared" si="1"/>
        <v>0</v>
      </c>
      <c r="I18" s="203">
        <f t="shared" si="1"/>
        <v>10</v>
      </c>
      <c r="J18" s="203">
        <f t="shared" si="1"/>
        <v>13.353999999999999</v>
      </c>
      <c r="K18" s="203">
        <f t="shared" si="1"/>
        <v>0</v>
      </c>
      <c r="L18" s="203">
        <f t="shared" si="1"/>
        <v>0</v>
      </c>
      <c r="M18" s="203">
        <f t="shared" si="1"/>
        <v>40</v>
      </c>
      <c r="N18" s="203">
        <f t="shared" si="1"/>
        <v>13.353999999999999</v>
      </c>
      <c r="O18" s="203">
        <f t="shared" si="1"/>
        <v>0</v>
      </c>
      <c r="P18" s="203">
        <f t="shared" si="1"/>
        <v>0</v>
      </c>
      <c r="Q18" s="203">
        <f t="shared" si="1"/>
        <v>8</v>
      </c>
      <c r="R18" s="203">
        <f t="shared" si="1"/>
        <v>0</v>
      </c>
      <c r="S18" s="203">
        <f t="shared" si="1"/>
        <v>4</v>
      </c>
      <c r="T18" s="203">
        <f t="shared" si="1"/>
        <v>0</v>
      </c>
      <c r="U18" s="203">
        <f t="shared" si="1"/>
        <v>0</v>
      </c>
      <c r="V18" s="203">
        <f t="shared" si="1"/>
        <v>13.353999999999999</v>
      </c>
      <c r="W18" s="203">
        <f t="shared" si="1"/>
        <v>0</v>
      </c>
      <c r="X18" s="203">
        <f t="shared" si="1"/>
        <v>0</v>
      </c>
      <c r="Y18" s="203">
        <f t="shared" si="1"/>
        <v>12</v>
      </c>
      <c r="Z18" s="542">
        <f t="shared" si="1"/>
        <v>13.353999999999999</v>
      </c>
      <c r="AA18" s="542">
        <f t="shared" si="1"/>
        <v>147.53765361440679</v>
      </c>
      <c r="AB18" s="521">
        <f t="shared" si="1"/>
        <v>0</v>
      </c>
      <c r="AC18" s="521">
        <f t="shared" si="1"/>
        <v>0</v>
      </c>
      <c r="AD18" s="521">
        <f t="shared" si="1"/>
        <v>0</v>
      </c>
      <c r="AE18" s="521">
        <f t="shared" si="1"/>
        <v>0</v>
      </c>
      <c r="AF18" s="521">
        <f t="shared" si="1"/>
        <v>0</v>
      </c>
      <c r="AG18" s="521">
        <f t="shared" si="1"/>
        <v>0</v>
      </c>
      <c r="AH18" s="521">
        <f t="shared" si="1"/>
        <v>20</v>
      </c>
      <c r="AI18" s="521">
        <f t="shared" si="1"/>
        <v>0</v>
      </c>
      <c r="AJ18" s="521">
        <f t="shared" si="1"/>
        <v>20</v>
      </c>
      <c r="AK18" s="521">
        <f t="shared" si="1"/>
        <v>0</v>
      </c>
      <c r="AL18" s="521">
        <f t="shared" si="1"/>
        <v>0</v>
      </c>
      <c r="AM18" s="521">
        <f t="shared" si="1"/>
        <v>0</v>
      </c>
      <c r="AN18" s="521">
        <f t="shared" si="1"/>
        <v>0</v>
      </c>
      <c r="AO18" s="521">
        <f t="shared" si="1"/>
        <v>44.750319999999995</v>
      </c>
      <c r="AP18" s="521">
        <f t="shared" si="1"/>
        <v>44.750319999999995</v>
      </c>
      <c r="AQ18" s="521">
        <f t="shared" si="1"/>
        <v>11.366082</v>
      </c>
      <c r="AR18" s="521">
        <f t="shared" si="1"/>
        <v>57.067484629999996</v>
      </c>
      <c r="AS18" s="521">
        <f t="shared" si="1"/>
        <v>57.901544635</v>
      </c>
      <c r="AT18" s="521">
        <f t="shared" si="1"/>
        <v>3.0090000000000003</v>
      </c>
      <c r="AU18" s="525">
        <f>SUM(AP18:AT18)</f>
        <v>174.09443126499997</v>
      </c>
    </row>
    <row r="19" spans="1:47" s="172" customFormat="1" ht="39.75" customHeight="1">
      <c r="A19" s="169" t="s">
        <v>253</v>
      </c>
      <c r="B19" s="180" t="s">
        <v>160</v>
      </c>
      <c r="C19" s="203"/>
      <c r="D19" s="203"/>
      <c r="E19" s="203"/>
      <c r="F19" s="203"/>
      <c r="G19" s="203"/>
      <c r="H19" s="203"/>
      <c r="I19" s="203"/>
      <c r="J19" s="203"/>
      <c r="K19" s="203"/>
      <c r="L19" s="203"/>
      <c r="M19" s="203"/>
      <c r="N19" s="203"/>
      <c r="O19" s="203"/>
      <c r="P19" s="203"/>
      <c r="Q19" s="203"/>
      <c r="R19" s="203"/>
      <c r="S19" s="203"/>
      <c r="T19" s="203"/>
      <c r="U19" s="203"/>
      <c r="V19" s="203"/>
      <c r="W19" s="203"/>
      <c r="X19" s="203"/>
      <c r="Y19" s="543"/>
      <c r="Z19" s="544"/>
      <c r="AA19" s="544"/>
      <c r="AB19" s="525"/>
      <c r="AC19" s="525"/>
      <c r="AD19" s="525"/>
      <c r="AE19" s="525"/>
      <c r="AF19" s="525"/>
      <c r="AG19" s="525"/>
      <c r="AH19" s="525"/>
      <c r="AI19" s="525"/>
      <c r="AJ19" s="525"/>
      <c r="AK19" s="525"/>
      <c r="AL19" s="525"/>
      <c r="AM19" s="525"/>
      <c r="AN19" s="525"/>
      <c r="AO19" s="525"/>
      <c r="AP19" s="525"/>
      <c r="AQ19" s="525"/>
      <c r="AR19" s="525"/>
      <c r="AS19" s="525"/>
      <c r="AT19" s="525"/>
      <c r="AU19" s="545"/>
    </row>
    <row r="20" spans="1:47" ht="21.75" customHeight="1">
      <c r="A20" s="169" t="s">
        <v>253</v>
      </c>
      <c r="B20" s="180" t="str">
        <f>'приложение 1.1 '!B22</f>
        <v>Подстанции 35/6кВ</v>
      </c>
      <c r="C20" s="519"/>
      <c r="D20" s="519"/>
      <c r="E20" s="519"/>
      <c r="F20" s="519"/>
      <c r="G20" s="519"/>
      <c r="H20" s="519"/>
      <c r="I20" s="519"/>
      <c r="J20" s="519"/>
      <c r="K20" s="519"/>
      <c r="L20" s="519"/>
      <c r="M20" s="519"/>
      <c r="N20" s="519"/>
      <c r="O20" s="519"/>
      <c r="P20" s="519"/>
      <c r="Q20" s="519"/>
      <c r="R20" s="519"/>
      <c r="S20" s="519"/>
      <c r="T20" s="519"/>
      <c r="U20" s="519"/>
      <c r="V20" s="519"/>
      <c r="W20" s="519"/>
      <c r="X20" s="519"/>
      <c r="Y20" s="519"/>
      <c r="Z20" s="522"/>
      <c r="AA20" s="522"/>
      <c r="AB20" s="546"/>
      <c r="AC20" s="546"/>
      <c r="AD20" s="546"/>
      <c r="AE20" s="546"/>
      <c r="AF20" s="546"/>
      <c r="AG20" s="546"/>
      <c r="AH20" s="546"/>
      <c r="AI20" s="546"/>
      <c r="AJ20" s="546"/>
      <c r="AK20" s="546"/>
      <c r="AL20" s="546"/>
      <c r="AM20" s="546"/>
      <c r="AN20" s="546"/>
      <c r="AO20" s="546"/>
      <c r="AP20" s="546"/>
      <c r="AQ20" s="546"/>
      <c r="AR20" s="546"/>
      <c r="AS20" s="546"/>
      <c r="AT20" s="546"/>
      <c r="AU20" s="545"/>
    </row>
    <row r="21" spans="1:47" ht="54.95" customHeight="1">
      <c r="A21" s="360" t="str">
        <f>'приложение 1.1 '!A23</f>
        <v>1.1.1.1</v>
      </c>
      <c r="B21" s="225" t="str">
        <f>'приложение 1.1 '!B23</f>
        <v>Реконструкция ПС №68 -35/6кВ (Замена тр-ров 1TONb 4000/35/6кВА на 1ТД 10000/35/6кВА; 1ЗРУ-6кВ на 1КРУ-6кВ)</v>
      </c>
      <c r="C21" s="519">
        <f>'приложение 1.1 '!L23</f>
        <v>0</v>
      </c>
      <c r="D21" s="519">
        <f>'приложение 1.1 '!K23</f>
        <v>0</v>
      </c>
      <c r="E21" s="519">
        <f>'приложение 1.1 '!N23</f>
        <v>20</v>
      </c>
      <c r="F21" s="519">
        <f>'приложение 1.1 '!M23</f>
        <v>0</v>
      </c>
      <c r="G21" s="519">
        <f>'приложение 1.1 '!P23</f>
        <v>0</v>
      </c>
      <c r="H21" s="519">
        <f>'приложение 1.1 '!O23</f>
        <v>0</v>
      </c>
      <c r="I21" s="519">
        <f>'приложение 1.1 '!R23</f>
        <v>0</v>
      </c>
      <c r="J21" s="519">
        <f>'приложение 1.1 '!Q23</f>
        <v>0</v>
      </c>
      <c r="K21" s="519">
        <f>'приложение 1.1 '!T23</f>
        <v>0</v>
      </c>
      <c r="L21" s="519">
        <f>'приложение 1.1 '!S23</f>
        <v>0</v>
      </c>
      <c r="M21" s="519">
        <f>SUM(C21,E21,K21,G21,I21)</f>
        <v>20</v>
      </c>
      <c r="N21" s="519">
        <f>SUM(D21,F21,L21,H21,J21)</f>
        <v>0</v>
      </c>
      <c r="O21" s="519">
        <v>0</v>
      </c>
      <c r="P21" s="519">
        <v>0</v>
      </c>
      <c r="Q21" s="519">
        <v>8</v>
      </c>
      <c r="R21" s="519">
        <v>0</v>
      </c>
      <c r="S21" s="519">
        <v>0</v>
      </c>
      <c r="T21" s="519">
        <v>0</v>
      </c>
      <c r="U21" s="519">
        <v>0</v>
      </c>
      <c r="V21" s="519">
        <v>0</v>
      </c>
      <c r="W21" s="519">
        <v>0</v>
      </c>
      <c r="X21" s="519">
        <v>0</v>
      </c>
      <c r="Y21" s="519">
        <f>SUM(O21,Q21,W21,S21,U21)</f>
        <v>8</v>
      </c>
      <c r="Z21" s="522">
        <f>SUM(P21,R21,X21,T21,V21)</f>
        <v>0</v>
      </c>
      <c r="AA21" s="522">
        <f>AU21/1.18</f>
        <v>70</v>
      </c>
      <c r="AB21" s="546"/>
      <c r="AC21" s="546"/>
      <c r="AD21" s="546"/>
      <c r="AE21" s="546"/>
      <c r="AF21" s="546"/>
      <c r="AG21" s="546"/>
      <c r="AH21" s="546">
        <v>20</v>
      </c>
      <c r="AI21" s="546"/>
      <c r="AJ21" s="546">
        <f>AB21+AD21+AF21+AH21</f>
        <v>20</v>
      </c>
      <c r="AK21" s="546">
        <f>AC21+AE21+AG21+AI21</f>
        <v>0</v>
      </c>
      <c r="AL21" s="546"/>
      <c r="AM21" s="546"/>
      <c r="AN21" s="546"/>
      <c r="AO21" s="546">
        <f>AP21</f>
        <v>44.750319999999995</v>
      </c>
      <c r="AP21" s="546">
        <f>'приложение 1.1 '!X23</f>
        <v>44.750319999999995</v>
      </c>
      <c r="AQ21" s="546">
        <f>'приложение 1.1 '!W23</f>
        <v>11.366082</v>
      </c>
      <c r="AR21" s="546">
        <f>'приложение 1.1 '!Y23</f>
        <v>26.483598000000001</v>
      </c>
      <c r="AS21" s="546">
        <f>'приложение 1.1 '!Z23</f>
        <v>0</v>
      </c>
      <c r="AT21" s="546">
        <f>'приложение 1.1 '!AA23</f>
        <v>0</v>
      </c>
      <c r="AU21" s="545">
        <f>SUM(AP21:AT21)</f>
        <v>82.6</v>
      </c>
    </row>
    <row r="22" spans="1:47" ht="48" customHeight="1">
      <c r="A22" s="359" t="str">
        <f>'приложение 1.1 '!A24</f>
        <v>1.1.1.2</v>
      </c>
      <c r="B22" s="457" t="str">
        <f>'приложение 1.1 '!B24</f>
        <v>Реконструкция ПС №121 -35/6кВ (Замена тр-ров 2TONb 4000/35/6кВА на 2ТД 10000/35/6кВА; 2ЗРУ-6кВ на 2КРУ-6кВ)</v>
      </c>
      <c r="C22" s="519">
        <f>'приложение 1.1 '!L24</f>
        <v>0</v>
      </c>
      <c r="D22" s="519">
        <f>'приложение 1.1 '!K24</f>
        <v>0</v>
      </c>
      <c r="E22" s="519">
        <f>'приложение 1.1 '!N24</f>
        <v>0</v>
      </c>
      <c r="F22" s="519">
        <f>'приложение 1.1 '!M24</f>
        <v>0</v>
      </c>
      <c r="G22" s="519">
        <f>'приложение 1.1 '!P24</f>
        <v>10</v>
      </c>
      <c r="H22" s="519">
        <f>'приложение 1.1 '!O24</f>
        <v>0</v>
      </c>
      <c r="I22" s="519">
        <f>'приложение 1.1 '!R24</f>
        <v>10</v>
      </c>
      <c r="J22" s="519">
        <f>'приложение 1.1 '!Q24</f>
        <v>0</v>
      </c>
      <c r="K22" s="519">
        <f>'приложение 1.1 '!T24</f>
        <v>0</v>
      </c>
      <c r="L22" s="519">
        <f>'приложение 1.1 '!S24</f>
        <v>0</v>
      </c>
      <c r="M22" s="519">
        <f t="shared" ref="M22:M24" si="2">SUM(C22,E22,K22,G22,I22)</f>
        <v>20</v>
      </c>
      <c r="N22" s="519">
        <f t="shared" ref="N22:N24" si="3">SUM(D22,F22,L22,H22,J22)</f>
        <v>0</v>
      </c>
      <c r="O22" s="519">
        <v>0</v>
      </c>
      <c r="P22" s="519">
        <v>0</v>
      </c>
      <c r="Q22" s="519">
        <v>0</v>
      </c>
      <c r="R22" s="519">
        <v>0</v>
      </c>
      <c r="S22" s="519">
        <v>4</v>
      </c>
      <c r="T22" s="519">
        <v>0</v>
      </c>
      <c r="U22" s="519">
        <v>0</v>
      </c>
      <c r="V22" s="519">
        <v>0</v>
      </c>
      <c r="W22" s="519">
        <v>0</v>
      </c>
      <c r="X22" s="519">
        <v>0</v>
      </c>
      <c r="Y22" s="519">
        <f t="shared" ref="Y22:Z24" si="4">SUM(O22,Q22,W22,S22,U22)</f>
        <v>4</v>
      </c>
      <c r="Z22" s="522">
        <f t="shared" si="4"/>
        <v>0</v>
      </c>
      <c r="AA22" s="522">
        <f>AU22/1.18</f>
        <v>65.235131614406782</v>
      </c>
      <c r="AB22" s="546"/>
      <c r="AC22" s="546"/>
      <c r="AD22" s="546"/>
      <c r="AE22" s="546"/>
      <c r="AF22" s="546"/>
      <c r="AG22" s="546"/>
      <c r="AH22" s="546"/>
      <c r="AI22" s="546"/>
      <c r="AJ22" s="546">
        <f t="shared" ref="AJ22:AJ24" si="5">AB22+AD22+AF22+AH22</f>
        <v>0</v>
      </c>
      <c r="AK22" s="546">
        <f t="shared" ref="AK22:AK24" si="6">AC22+AE22+AG22+AI22</f>
        <v>0</v>
      </c>
      <c r="AL22" s="546"/>
      <c r="AM22" s="546"/>
      <c r="AN22" s="546"/>
      <c r="AO22" s="546">
        <f>AP22</f>
        <v>0</v>
      </c>
      <c r="AP22" s="546">
        <f>'приложение 1.1 '!X24</f>
        <v>0</v>
      </c>
      <c r="AQ22" s="546">
        <f>'приложение 1.1 '!W24</f>
        <v>0</v>
      </c>
      <c r="AR22" s="546">
        <f>'приложение 1.1 '!Y24</f>
        <v>29.47940663</v>
      </c>
      <c r="AS22" s="546">
        <f>'приложение 1.1 '!Z24</f>
        <v>47.498048675</v>
      </c>
      <c r="AT22" s="546">
        <f>'приложение 1.1 '!AA24</f>
        <v>0</v>
      </c>
      <c r="AU22" s="545">
        <f t="shared" ref="AU22:AU24" si="7">SUM(AP22:AT22)</f>
        <v>76.977455305000007</v>
      </c>
    </row>
    <row r="23" spans="1:47" ht="30.75" customHeight="1">
      <c r="A23" s="169" t="str">
        <f>'приложение 1.1 '!A25</f>
        <v>1.1.2.</v>
      </c>
      <c r="B23" s="180" t="str">
        <f>'приложение 1.1 '!B25</f>
        <v>Воздушные линии 35/6кВ</v>
      </c>
      <c r="C23" s="519"/>
      <c r="D23" s="519"/>
      <c r="E23" s="519"/>
      <c r="F23" s="519"/>
      <c r="G23" s="519"/>
      <c r="H23" s="519"/>
      <c r="I23" s="519"/>
      <c r="J23" s="519"/>
      <c r="K23" s="519"/>
      <c r="L23" s="519"/>
      <c r="M23" s="519"/>
      <c r="N23" s="519"/>
      <c r="O23" s="519"/>
      <c r="P23" s="519"/>
      <c r="Q23" s="519"/>
      <c r="R23" s="519"/>
      <c r="S23" s="519"/>
      <c r="T23" s="519"/>
      <c r="U23" s="519"/>
      <c r="V23" s="519"/>
      <c r="W23" s="519"/>
      <c r="X23" s="519"/>
      <c r="Y23" s="519"/>
      <c r="Z23" s="522"/>
      <c r="AA23" s="522"/>
      <c r="AB23" s="546"/>
      <c r="AC23" s="546"/>
      <c r="AD23" s="546"/>
      <c r="AE23" s="546"/>
      <c r="AF23" s="546"/>
      <c r="AG23" s="546"/>
      <c r="AH23" s="546"/>
      <c r="AI23" s="546"/>
      <c r="AJ23" s="546"/>
      <c r="AK23" s="546"/>
      <c r="AL23" s="546"/>
      <c r="AM23" s="546"/>
      <c r="AN23" s="546"/>
      <c r="AO23" s="546"/>
      <c r="AP23" s="546">
        <f>'приложение 1.1 '!X25</f>
        <v>0</v>
      </c>
      <c r="AQ23" s="546">
        <f>'приложение 1.1 '!W25</f>
        <v>0</v>
      </c>
      <c r="AR23" s="546">
        <f>'приложение 1.1 '!Y25</f>
        <v>0</v>
      </c>
      <c r="AS23" s="546">
        <f>'приложение 1.1 '!Z25</f>
        <v>0</v>
      </c>
      <c r="AT23" s="546">
        <f>'приложение 1.1 '!AA25</f>
        <v>0</v>
      </c>
      <c r="AU23" s="545">
        <f t="shared" si="7"/>
        <v>0</v>
      </c>
    </row>
    <row r="24" spans="1:47" ht="48" customHeight="1">
      <c r="A24" s="359" t="str">
        <f>'приложение 1.1 '!A26</f>
        <v>1.1.2.1</v>
      </c>
      <c r="B24" s="457" t="str">
        <f>'приложение 1.1 '!B26</f>
        <v>Реконструкция ВЛ-35кВ от ВЛ-35 кВ "Восточный-1,2" до ПС 35/6 кВ "121,68"</v>
      </c>
      <c r="C24" s="519" t="str">
        <f>IF('приложение 1.1 '!G26=2016,'приложение 1.1 '!E26,"0,00")</f>
        <v>0,00</v>
      </c>
      <c r="D24" s="519" t="str">
        <f>IF('приложение 1.1 '!G26=2016,'приложение 1.1 '!D26,"0,00")</f>
        <v>0,00</v>
      </c>
      <c r="E24" s="519" t="str">
        <f>IF('приложение 1.1 '!G26=2017,'приложение 1.1 '!E26,"0,00")</f>
        <v>0,00</v>
      </c>
      <c r="F24" s="519" t="str">
        <f>IF('приложение 1.1 '!G26=2017,'приложение 1.1 '!D26,"0,00")</f>
        <v>0,00</v>
      </c>
      <c r="G24" s="519" t="str">
        <f>IF('приложение 1.1 '!G26=2018,'приложение 1.1 '!E26,"0,00")</f>
        <v>0,00</v>
      </c>
      <c r="H24" s="519" t="str">
        <f>IF('приложение 1.1 '!G26=2018,'приложение 1.1 '!D26,"0,00")</f>
        <v>0,00</v>
      </c>
      <c r="I24" s="519">
        <f>IF('приложение 1.1 '!G26=2019,'приложение 1.1 '!E26,"0,00")</f>
        <v>0</v>
      </c>
      <c r="J24" s="519">
        <f>IF('приложение 1.1 '!G26=2019,'приложение 1.1 '!D26,"0,00")</f>
        <v>13.353999999999999</v>
      </c>
      <c r="K24" s="519" t="str">
        <f>IF('приложение 1.1 '!G26=2020,'приложение 1.1 '!E26,"0,00")</f>
        <v>0,00</v>
      </c>
      <c r="L24" s="519" t="str">
        <f>IF('приложение 1.1 '!G26=2020,'приложение 1.1 '!D26,"0,00")</f>
        <v>0,00</v>
      </c>
      <c r="M24" s="519">
        <f t="shared" si="2"/>
        <v>0</v>
      </c>
      <c r="N24" s="519">
        <f t="shared" si="3"/>
        <v>13.353999999999999</v>
      </c>
      <c r="O24" s="519">
        <v>0</v>
      </c>
      <c r="P24" s="519" t="str">
        <f t="shared" ref="P24" si="8">D24</f>
        <v>0,00</v>
      </c>
      <c r="Q24" s="519">
        <v>0</v>
      </c>
      <c r="R24" s="519" t="str">
        <f t="shared" ref="R24" si="9">F24</f>
        <v>0,00</v>
      </c>
      <c r="S24" s="519">
        <v>0</v>
      </c>
      <c r="T24" s="519" t="str">
        <f t="shared" ref="T24" si="10">H24</f>
        <v>0,00</v>
      </c>
      <c r="U24" s="519">
        <v>0</v>
      </c>
      <c r="V24" s="519">
        <f t="shared" ref="V24" si="11">J24</f>
        <v>13.353999999999999</v>
      </c>
      <c r="W24" s="519">
        <v>0</v>
      </c>
      <c r="X24" s="519" t="str">
        <f t="shared" ref="X24" si="12">L24</f>
        <v>0,00</v>
      </c>
      <c r="Y24" s="519">
        <f t="shared" si="4"/>
        <v>0</v>
      </c>
      <c r="Z24" s="522">
        <f t="shared" si="4"/>
        <v>13.353999999999999</v>
      </c>
      <c r="AA24" s="522">
        <f t="shared" ref="AA24" si="13">AU24/1.18</f>
        <v>5.6245219999999998</v>
      </c>
      <c r="AB24" s="546"/>
      <c r="AC24" s="546"/>
      <c r="AD24" s="546"/>
      <c r="AE24" s="546"/>
      <c r="AF24" s="546"/>
      <c r="AG24" s="546"/>
      <c r="AH24" s="546"/>
      <c r="AI24" s="546"/>
      <c r="AJ24" s="546">
        <f t="shared" si="5"/>
        <v>0</v>
      </c>
      <c r="AK24" s="546">
        <f t="shared" si="6"/>
        <v>0</v>
      </c>
      <c r="AL24" s="546"/>
      <c r="AM24" s="546"/>
      <c r="AN24" s="546"/>
      <c r="AO24" s="546"/>
      <c r="AP24" s="546">
        <f>'приложение 1.1 '!X26</f>
        <v>0</v>
      </c>
      <c r="AQ24" s="546">
        <f>'приложение 1.1 '!W26</f>
        <v>0</v>
      </c>
      <c r="AR24" s="546">
        <f>'приложение 1.1 '!Y26</f>
        <v>0</v>
      </c>
      <c r="AS24" s="546">
        <f>'приложение 1.1 '!Z26</f>
        <v>6.6369359599999997</v>
      </c>
      <c r="AT24" s="546">
        <f>'приложение 1.1 '!AA26</f>
        <v>0</v>
      </c>
      <c r="AU24" s="545">
        <f t="shared" si="7"/>
        <v>6.6369359599999997</v>
      </c>
    </row>
    <row r="25" spans="1:47">
      <c r="A25" s="359"/>
      <c r="B25" s="180" t="str">
        <f>'приложение 1.1 '!B27</f>
        <v>Итого по разделу 1.1.1.</v>
      </c>
      <c r="C25" s="203">
        <f>SUM(C20:C24)</f>
        <v>0</v>
      </c>
      <c r="D25" s="203">
        <f t="shared" ref="D25:AU25" si="14">SUM(D20:D24)</f>
        <v>0</v>
      </c>
      <c r="E25" s="203">
        <f t="shared" si="14"/>
        <v>20</v>
      </c>
      <c r="F25" s="203">
        <f t="shared" si="14"/>
        <v>0</v>
      </c>
      <c r="G25" s="203">
        <f t="shared" si="14"/>
        <v>10</v>
      </c>
      <c r="H25" s="203">
        <f t="shared" si="14"/>
        <v>0</v>
      </c>
      <c r="I25" s="203">
        <f t="shared" si="14"/>
        <v>10</v>
      </c>
      <c r="J25" s="203">
        <f t="shared" si="14"/>
        <v>13.353999999999999</v>
      </c>
      <c r="K25" s="203">
        <f t="shared" si="14"/>
        <v>0</v>
      </c>
      <c r="L25" s="203">
        <f t="shared" si="14"/>
        <v>0</v>
      </c>
      <c r="M25" s="203">
        <f t="shared" si="14"/>
        <v>40</v>
      </c>
      <c r="N25" s="203">
        <f t="shared" si="14"/>
        <v>13.353999999999999</v>
      </c>
      <c r="O25" s="203">
        <f t="shared" si="14"/>
        <v>0</v>
      </c>
      <c r="P25" s="203">
        <f t="shared" si="14"/>
        <v>0</v>
      </c>
      <c r="Q25" s="203">
        <f t="shared" si="14"/>
        <v>8</v>
      </c>
      <c r="R25" s="203">
        <f t="shared" si="14"/>
        <v>0</v>
      </c>
      <c r="S25" s="203">
        <f t="shared" si="14"/>
        <v>4</v>
      </c>
      <c r="T25" s="203">
        <f t="shared" si="14"/>
        <v>0</v>
      </c>
      <c r="U25" s="203">
        <f t="shared" si="14"/>
        <v>0</v>
      </c>
      <c r="V25" s="203">
        <f t="shared" si="14"/>
        <v>13.353999999999999</v>
      </c>
      <c r="W25" s="203">
        <f t="shared" si="14"/>
        <v>0</v>
      </c>
      <c r="X25" s="203">
        <f t="shared" si="14"/>
        <v>0</v>
      </c>
      <c r="Y25" s="203">
        <f t="shared" si="14"/>
        <v>12</v>
      </c>
      <c r="Z25" s="203">
        <f t="shared" si="14"/>
        <v>13.353999999999999</v>
      </c>
      <c r="AA25" s="203">
        <f t="shared" si="14"/>
        <v>140.8596536144068</v>
      </c>
      <c r="AB25" s="521">
        <f t="shared" si="14"/>
        <v>0</v>
      </c>
      <c r="AC25" s="521">
        <f t="shared" si="14"/>
        <v>0</v>
      </c>
      <c r="AD25" s="521">
        <f t="shared" si="14"/>
        <v>0</v>
      </c>
      <c r="AE25" s="521">
        <f t="shared" si="14"/>
        <v>0</v>
      </c>
      <c r="AF25" s="521">
        <f t="shared" si="14"/>
        <v>0</v>
      </c>
      <c r="AG25" s="521">
        <f t="shared" si="14"/>
        <v>0</v>
      </c>
      <c r="AH25" s="521">
        <f t="shared" si="14"/>
        <v>20</v>
      </c>
      <c r="AI25" s="521">
        <f t="shared" si="14"/>
        <v>0</v>
      </c>
      <c r="AJ25" s="521">
        <f t="shared" si="14"/>
        <v>20</v>
      </c>
      <c r="AK25" s="521">
        <f t="shared" si="14"/>
        <v>0</v>
      </c>
      <c r="AL25" s="521">
        <f t="shared" si="14"/>
        <v>0</v>
      </c>
      <c r="AM25" s="521">
        <f t="shared" si="14"/>
        <v>0</v>
      </c>
      <c r="AN25" s="521">
        <f t="shared" si="14"/>
        <v>0</v>
      </c>
      <c r="AO25" s="521">
        <f t="shared" si="14"/>
        <v>44.750319999999995</v>
      </c>
      <c r="AP25" s="521">
        <f t="shared" si="14"/>
        <v>44.750319999999995</v>
      </c>
      <c r="AQ25" s="521">
        <f t="shared" si="14"/>
        <v>11.366082</v>
      </c>
      <c r="AR25" s="521">
        <f t="shared" si="14"/>
        <v>55.96300463</v>
      </c>
      <c r="AS25" s="521">
        <f t="shared" si="14"/>
        <v>54.134984635000002</v>
      </c>
      <c r="AT25" s="521">
        <f t="shared" si="14"/>
        <v>0</v>
      </c>
      <c r="AU25" s="521">
        <f t="shared" si="14"/>
        <v>166.21439126499999</v>
      </c>
    </row>
    <row r="26" spans="1:47">
      <c r="A26" s="169" t="str">
        <f>'приложение 1.1 '!A28</f>
        <v>1.2.</v>
      </c>
      <c r="B26" s="180" t="str">
        <f>'приложение 1.1 '!B28</f>
        <v xml:space="preserve">Создание систем телемеханики и связи </v>
      </c>
      <c r="C26" s="518"/>
      <c r="D26" s="519"/>
      <c r="E26" s="518"/>
      <c r="F26" s="518"/>
      <c r="G26" s="518"/>
      <c r="H26" s="518"/>
      <c r="I26" s="518"/>
      <c r="J26" s="518"/>
      <c r="K26" s="518"/>
      <c r="L26" s="518"/>
      <c r="M26" s="518"/>
      <c r="N26" s="518"/>
      <c r="O26" s="518"/>
      <c r="P26" s="519"/>
      <c r="Q26" s="518"/>
      <c r="R26" s="518"/>
      <c r="S26" s="518"/>
      <c r="T26" s="518"/>
      <c r="U26" s="518"/>
      <c r="V26" s="518"/>
      <c r="W26" s="518"/>
      <c r="X26" s="518"/>
      <c r="Y26" s="527"/>
      <c r="Z26" s="527"/>
      <c r="AA26" s="527"/>
      <c r="AB26" s="546"/>
      <c r="AC26" s="546"/>
      <c r="AD26" s="546"/>
      <c r="AE26" s="546"/>
      <c r="AF26" s="546"/>
      <c r="AG26" s="546"/>
      <c r="AH26" s="546"/>
      <c r="AI26" s="546"/>
      <c r="AJ26" s="546"/>
      <c r="AK26" s="546"/>
      <c r="AL26" s="546"/>
      <c r="AM26" s="546"/>
      <c r="AN26" s="546"/>
      <c r="AO26" s="546"/>
      <c r="AP26" s="546"/>
      <c r="AQ26" s="546"/>
      <c r="AR26" s="546"/>
      <c r="AS26" s="546"/>
      <c r="AT26" s="546"/>
      <c r="AU26" s="546"/>
    </row>
    <row r="27" spans="1:47" ht="31.5">
      <c r="A27" s="359" t="str">
        <f>'приложение 1.1 '!A29</f>
        <v>1.2.1.</v>
      </c>
      <c r="B27" s="457" t="str">
        <f>'приложение 1.1 '!B29</f>
        <v>Монтаж системы телемеханики на ПС №68 -35/6кВ</v>
      </c>
      <c r="C27" s="519" t="str">
        <f>IF('приложение 1.1 '!G29=2016,'приложение 1.1 '!E29,"0,00")</f>
        <v>0,00</v>
      </c>
      <c r="D27" s="519" t="str">
        <f>IF('приложение 1.1 '!G29=2016,'приложение 1.1 '!D29,"0,00")</f>
        <v>0,00</v>
      </c>
      <c r="E27" s="519" t="str">
        <f>IF('приложение 1.1 '!G29=2017,'приложение 1.1 '!E29,"0,00")</f>
        <v>0,00</v>
      </c>
      <c r="F27" s="519" t="str">
        <f>IF('приложение 1.1 '!G29=2017,'приложение 1.1 '!D29,"0,00")</f>
        <v>0,00</v>
      </c>
      <c r="G27" s="519" t="str">
        <f>IF('приложение 1.1 '!G29=2018,'приложение 1.1 '!E29,"0,00")</f>
        <v>0,00</v>
      </c>
      <c r="H27" s="519" t="str">
        <f>IF('приложение 1.1 '!G29=2018,'приложение 1.1 '!D29,"0,00")</f>
        <v>0,00</v>
      </c>
      <c r="I27" s="519">
        <f>IF('приложение 1.1 '!G29=2019,'приложение 1.1 '!E29,"0,00")</f>
        <v>0</v>
      </c>
      <c r="J27" s="519">
        <f>IF('приложение 1.1 '!G29=2019,'приложение 1.1 '!D29,"0,00")</f>
        <v>0</v>
      </c>
      <c r="K27" s="519" t="str">
        <f>IF('приложение 1.1 '!G29=2020,'приложение 1.1 '!E29,"0,00")</f>
        <v>0,00</v>
      </c>
      <c r="L27" s="519" t="str">
        <f>IF('приложение 1.1 '!G29=2020,'приложение 1.1 '!D29,"0,00")</f>
        <v>0,00</v>
      </c>
      <c r="M27" s="519">
        <f t="shared" ref="M27" si="15">SUM(C27,E27,K27,G27,I27)</f>
        <v>0</v>
      </c>
      <c r="N27" s="519">
        <f t="shared" ref="N27" si="16">SUM(D27,F27,L27,H27,J27)</f>
        <v>0</v>
      </c>
      <c r="O27" s="519">
        <v>0</v>
      </c>
      <c r="P27" s="519" t="str">
        <f t="shared" ref="P27:P28" si="17">D27</f>
        <v>0,00</v>
      </c>
      <c r="Q27" s="519">
        <v>0</v>
      </c>
      <c r="R27" s="519" t="str">
        <f t="shared" ref="R27:R28" si="18">F27</f>
        <v>0,00</v>
      </c>
      <c r="S27" s="519">
        <v>0</v>
      </c>
      <c r="T27" s="519" t="str">
        <f t="shared" ref="T27:T28" si="19">H27</f>
        <v>0,00</v>
      </c>
      <c r="U27" s="519">
        <v>0</v>
      </c>
      <c r="V27" s="519">
        <f t="shared" ref="V27:V28" si="20">J27</f>
        <v>0</v>
      </c>
      <c r="W27" s="519">
        <v>0</v>
      </c>
      <c r="X27" s="519" t="str">
        <f t="shared" ref="X27:X28" si="21">L27</f>
        <v>0,00</v>
      </c>
      <c r="Y27" s="519">
        <f t="shared" ref="Y27:Z28" si="22">SUM(O27,Q27,W27,S27,U27)</f>
        <v>0</v>
      </c>
      <c r="Z27" s="522">
        <f t="shared" si="22"/>
        <v>0</v>
      </c>
      <c r="AA27" s="522">
        <f>AU27/1.18</f>
        <v>2.6970000000000005</v>
      </c>
      <c r="AB27" s="546"/>
      <c r="AC27" s="546"/>
      <c r="AD27" s="546"/>
      <c r="AE27" s="546"/>
      <c r="AF27" s="546"/>
      <c r="AG27" s="546"/>
      <c r="AH27" s="546"/>
      <c r="AI27" s="546"/>
      <c r="AJ27" s="546">
        <f t="shared" ref="AJ27" si="23">AB27+AD27+AF27+AH27</f>
        <v>0</v>
      </c>
      <c r="AK27" s="546">
        <f t="shared" ref="AK27" si="24">AC27+AE27+AG27+AI27</f>
        <v>0</v>
      </c>
      <c r="AL27" s="546"/>
      <c r="AM27" s="546">
        <f>AP27</f>
        <v>0</v>
      </c>
      <c r="AN27" s="546"/>
      <c r="AO27" s="546"/>
      <c r="AP27" s="546">
        <f>'приложение 1.1 '!X29</f>
        <v>0</v>
      </c>
      <c r="AQ27" s="546">
        <f>'приложение 1.1 '!W29</f>
        <v>0</v>
      </c>
      <c r="AR27" s="546">
        <f>'приложение 1.1 '!Y29</f>
        <v>0.17346</v>
      </c>
      <c r="AS27" s="546">
        <f>'приложение 1.1 '!Z29</f>
        <v>3.0090000000000003</v>
      </c>
      <c r="AT27" s="546">
        <f>'приложение 1.1 '!AA29</f>
        <v>0</v>
      </c>
      <c r="AU27" s="545">
        <f>SUM(AP27:AT27)</f>
        <v>3.1824600000000003</v>
      </c>
    </row>
    <row r="28" spans="1:47" ht="31.5">
      <c r="A28" s="359" t="str">
        <f>'приложение 1.1 '!A30</f>
        <v>1.2.2.</v>
      </c>
      <c r="B28" s="457" t="str">
        <f>'приложение 1.1 '!B30</f>
        <v>Монтаж системы телемеханики на ПС №121-35/6кВ</v>
      </c>
      <c r="C28" s="519" t="str">
        <f>IF('приложение 1.1 '!G30=2016,'приложение 1.1 '!E30,"0,00")</f>
        <v>0,00</v>
      </c>
      <c r="D28" s="519" t="str">
        <f>IF('приложение 1.1 '!G30=2016,'приложение 1.1 '!D30,"0,00")</f>
        <v>0,00</v>
      </c>
      <c r="E28" s="519" t="str">
        <f>IF('приложение 1.1 '!G30=2017,'приложение 1.1 '!E30,"0,00")</f>
        <v>0,00</v>
      </c>
      <c r="F28" s="519" t="str">
        <f>IF('приложение 1.1 '!G30=2017,'приложение 1.1 '!D30,"0,00")</f>
        <v>0,00</v>
      </c>
      <c r="G28" s="519" t="str">
        <f>IF('приложение 1.1 '!G30=2018,'приложение 1.1 '!E30,"0,00")</f>
        <v>0,00</v>
      </c>
      <c r="H28" s="519" t="str">
        <f>IF('приложение 1.1 '!G30=2018,'приложение 1.1 '!D30,"0,00")</f>
        <v>0,00</v>
      </c>
      <c r="I28" s="519" t="str">
        <f>IF('приложение 1.1 '!G30=2019,'приложение 1.1 '!E30,"0,00")</f>
        <v>0,00</v>
      </c>
      <c r="J28" s="519" t="str">
        <f>IF('приложение 1.1 '!G30=2019,'приложение 1.1 '!D30,"0,00")</f>
        <v>0,00</v>
      </c>
      <c r="K28" s="519">
        <f>IF('приложение 1.1 '!G30=2020,'приложение 1.1 '!E30,"0,00")</f>
        <v>0</v>
      </c>
      <c r="L28" s="519">
        <f>IF('приложение 1.1 '!G30=2020,'приложение 1.1 '!D30,"0,00")</f>
        <v>0</v>
      </c>
      <c r="M28" s="519">
        <f t="shared" ref="M28" si="25">SUM(C28,E28,K28,G28,I28)</f>
        <v>0</v>
      </c>
      <c r="N28" s="519">
        <f t="shared" ref="N28" si="26">SUM(D28,F28,L28,H28,J28)</f>
        <v>0</v>
      </c>
      <c r="O28" s="519">
        <v>0</v>
      </c>
      <c r="P28" s="519" t="str">
        <f t="shared" si="17"/>
        <v>0,00</v>
      </c>
      <c r="Q28" s="519">
        <v>0</v>
      </c>
      <c r="R28" s="519" t="str">
        <f t="shared" si="18"/>
        <v>0,00</v>
      </c>
      <c r="S28" s="519">
        <v>0</v>
      </c>
      <c r="T28" s="519" t="str">
        <f t="shared" si="19"/>
        <v>0,00</v>
      </c>
      <c r="U28" s="519">
        <v>0</v>
      </c>
      <c r="V28" s="519" t="str">
        <f t="shared" si="20"/>
        <v>0,00</v>
      </c>
      <c r="W28" s="519">
        <v>0</v>
      </c>
      <c r="X28" s="519">
        <f t="shared" si="21"/>
        <v>0</v>
      </c>
      <c r="Y28" s="519">
        <f t="shared" si="22"/>
        <v>0</v>
      </c>
      <c r="Z28" s="522">
        <f t="shared" si="22"/>
        <v>0</v>
      </c>
      <c r="AA28" s="522">
        <f>AU28/1.18</f>
        <v>2.6970000000000005</v>
      </c>
      <c r="AB28" s="547"/>
      <c r="AC28" s="547"/>
      <c r="AD28" s="547"/>
      <c r="AE28" s="547"/>
      <c r="AF28" s="547"/>
      <c r="AG28" s="547"/>
      <c r="AH28" s="547"/>
      <c r="AI28" s="547"/>
      <c r="AJ28" s="546">
        <f t="shared" ref="AJ28" si="27">AB28+AD28+AF28+AH28</f>
        <v>0</v>
      </c>
      <c r="AK28" s="546">
        <f t="shared" ref="AK28" si="28">AC28+AE28+AG28+AI28</f>
        <v>0</v>
      </c>
      <c r="AL28" s="546"/>
      <c r="AM28" s="546">
        <f>AP28</f>
        <v>0</v>
      </c>
      <c r="AN28" s="546"/>
      <c r="AO28" s="546"/>
      <c r="AP28" s="546">
        <f>'приложение 1.1 '!X30</f>
        <v>0</v>
      </c>
      <c r="AQ28" s="546">
        <f>'приложение 1.1 '!W30</f>
        <v>0</v>
      </c>
      <c r="AR28" s="546">
        <f>'приложение 1.1 '!Y30</f>
        <v>0.17346</v>
      </c>
      <c r="AS28" s="546">
        <f>'приложение 1.1 '!Z30</f>
        <v>0</v>
      </c>
      <c r="AT28" s="546">
        <f>'приложение 1.1 '!AA30</f>
        <v>3.0090000000000003</v>
      </c>
      <c r="AU28" s="545">
        <f>SUM(AP28:AT28)</f>
        <v>3.1824600000000003</v>
      </c>
    </row>
    <row r="29" spans="1:47">
      <c r="A29" s="461"/>
      <c r="B29" s="180" t="s">
        <v>218</v>
      </c>
      <c r="C29" s="520">
        <f>SUM(C27:C28)</f>
        <v>0</v>
      </c>
      <c r="D29" s="520">
        <f t="shared" ref="D29:Z29" si="29">SUM(D27:D28)</f>
        <v>0</v>
      </c>
      <c r="E29" s="520">
        <f t="shared" si="29"/>
        <v>0</v>
      </c>
      <c r="F29" s="520">
        <f t="shared" si="29"/>
        <v>0</v>
      </c>
      <c r="G29" s="520">
        <f t="shared" si="29"/>
        <v>0</v>
      </c>
      <c r="H29" s="520">
        <f t="shared" si="29"/>
        <v>0</v>
      </c>
      <c r="I29" s="520">
        <f t="shared" si="29"/>
        <v>0</v>
      </c>
      <c r="J29" s="520">
        <f t="shared" si="29"/>
        <v>0</v>
      </c>
      <c r="K29" s="520">
        <f t="shared" si="29"/>
        <v>0</v>
      </c>
      <c r="L29" s="520">
        <f t="shared" si="29"/>
        <v>0</v>
      </c>
      <c r="M29" s="520">
        <f t="shared" si="29"/>
        <v>0</v>
      </c>
      <c r="N29" s="520">
        <f t="shared" si="29"/>
        <v>0</v>
      </c>
      <c r="O29" s="520">
        <f t="shared" si="29"/>
        <v>0</v>
      </c>
      <c r="P29" s="520">
        <f t="shared" si="29"/>
        <v>0</v>
      </c>
      <c r="Q29" s="520">
        <f t="shared" si="29"/>
        <v>0</v>
      </c>
      <c r="R29" s="520">
        <f t="shared" si="29"/>
        <v>0</v>
      </c>
      <c r="S29" s="520">
        <f t="shared" si="29"/>
        <v>0</v>
      </c>
      <c r="T29" s="520">
        <f t="shared" si="29"/>
        <v>0</v>
      </c>
      <c r="U29" s="520">
        <f t="shared" si="29"/>
        <v>0</v>
      </c>
      <c r="V29" s="520">
        <f t="shared" si="29"/>
        <v>0</v>
      </c>
      <c r="W29" s="520">
        <f t="shared" si="29"/>
        <v>0</v>
      </c>
      <c r="X29" s="520">
        <f t="shared" si="29"/>
        <v>0</v>
      </c>
      <c r="Y29" s="520">
        <f t="shared" si="29"/>
        <v>0</v>
      </c>
      <c r="Z29" s="520">
        <f t="shared" si="29"/>
        <v>0</v>
      </c>
      <c r="AA29" s="520">
        <f t="shared" ref="AA29" si="30">SUM(AA27:AA28)</f>
        <v>5.394000000000001</v>
      </c>
      <c r="AB29" s="541">
        <f t="shared" ref="AB29:AC29" si="31">SUM(AB27:AB28)</f>
        <v>0</v>
      </c>
      <c r="AC29" s="541">
        <f t="shared" si="31"/>
        <v>0</v>
      </c>
      <c r="AD29" s="541">
        <f t="shared" ref="AD29" si="32">SUM(AD27:AD28)</f>
        <v>0</v>
      </c>
      <c r="AE29" s="541">
        <f t="shared" ref="AE29" si="33">SUM(AE27:AE28)</f>
        <v>0</v>
      </c>
      <c r="AF29" s="541">
        <f t="shared" ref="AF29" si="34">SUM(AF27:AF28)</f>
        <v>0</v>
      </c>
      <c r="AG29" s="541">
        <f t="shared" ref="AG29" si="35">SUM(AG27:AG28)</f>
        <v>0</v>
      </c>
      <c r="AH29" s="541">
        <f t="shared" ref="AH29:AI29" si="36">SUM(AH27:AH28)</f>
        <v>0</v>
      </c>
      <c r="AI29" s="541">
        <f t="shared" si="36"/>
        <v>0</v>
      </c>
      <c r="AJ29" s="541">
        <f t="shared" ref="AJ29" si="37">SUM(AJ27:AJ28)</f>
        <v>0</v>
      </c>
      <c r="AK29" s="541">
        <f t="shared" ref="AK29" si="38">SUM(AK27:AK28)</f>
        <v>0</v>
      </c>
      <c r="AL29" s="541">
        <f t="shared" ref="AL29" si="39">SUM(AL27:AL28)</f>
        <v>0</v>
      </c>
      <c r="AM29" s="541">
        <f t="shared" ref="AM29" si="40">SUM(AM27:AM28)</f>
        <v>0</v>
      </c>
      <c r="AN29" s="541">
        <f t="shared" ref="AN29:AO29" si="41">SUM(AN27:AN28)</f>
        <v>0</v>
      </c>
      <c r="AO29" s="541">
        <f t="shared" si="41"/>
        <v>0</v>
      </c>
      <c r="AP29" s="541">
        <f t="shared" ref="AP29" si="42">SUM(AP27:AP28)</f>
        <v>0</v>
      </c>
      <c r="AQ29" s="541">
        <f t="shared" ref="AQ29:AU29" si="43">SUM(AQ27:AQ28)</f>
        <v>0</v>
      </c>
      <c r="AR29" s="541">
        <f t="shared" si="43"/>
        <v>0.34692000000000001</v>
      </c>
      <c r="AS29" s="541">
        <f t="shared" si="43"/>
        <v>3.0090000000000003</v>
      </c>
      <c r="AT29" s="541">
        <f t="shared" si="43"/>
        <v>3.0090000000000003</v>
      </c>
      <c r="AU29" s="541">
        <f t="shared" si="43"/>
        <v>6.3649200000000006</v>
      </c>
    </row>
    <row r="30" spans="1:47" ht="31.5">
      <c r="A30" s="169" t="str">
        <f>'приложение 1.1 '!A32</f>
        <v>1.3.</v>
      </c>
      <c r="B30" s="549" t="str">
        <f>'приложение 1.1 '!B32</f>
        <v>Монтаж системы АИИС КУЭ ПС; РП; ТП; КТПН</v>
      </c>
      <c r="C30" s="518"/>
      <c r="D30" s="530"/>
      <c r="E30" s="530"/>
      <c r="F30" s="519"/>
      <c r="G30" s="519"/>
      <c r="H30" s="519"/>
      <c r="I30" s="519"/>
      <c r="J30" s="519"/>
      <c r="K30" s="518"/>
      <c r="L30" s="518"/>
      <c r="M30" s="518"/>
      <c r="N30" s="518"/>
      <c r="O30" s="518"/>
      <c r="P30" s="519"/>
      <c r="Q30" s="518"/>
      <c r="R30" s="518"/>
      <c r="S30" s="518"/>
      <c r="T30" s="518"/>
      <c r="U30" s="518"/>
      <c r="V30" s="518"/>
      <c r="W30" s="518"/>
      <c r="X30" s="518"/>
      <c r="Y30" s="518"/>
      <c r="Z30" s="523"/>
      <c r="AA30" s="523"/>
      <c r="AB30" s="546"/>
      <c r="AC30" s="546"/>
      <c r="AD30" s="546"/>
      <c r="AE30" s="546"/>
      <c r="AF30" s="546"/>
      <c r="AG30" s="546"/>
      <c r="AH30" s="546"/>
      <c r="AI30" s="546"/>
      <c r="AJ30" s="546"/>
      <c r="AK30" s="546"/>
      <c r="AL30" s="546"/>
      <c r="AM30" s="546"/>
      <c r="AN30" s="546"/>
      <c r="AO30" s="546"/>
      <c r="AP30" s="546"/>
      <c r="AQ30" s="546"/>
      <c r="AR30" s="546"/>
      <c r="AS30" s="546"/>
      <c r="AT30" s="546"/>
      <c r="AU30" s="546"/>
    </row>
    <row r="31" spans="1:47" ht="31.5">
      <c r="A31" s="359" t="str">
        <f>'приложение 1.1 '!A33</f>
        <v>1.3.1.</v>
      </c>
      <c r="B31" s="503" t="str">
        <f>'приложение 1.1 '!B33</f>
        <v>Монтаж системы АИИС КУЭ на ПС №68 -35/6кВ</v>
      </c>
      <c r="C31" s="519" t="str">
        <f>IF('приложение 1.1 '!G33=2016,'приложение 1.1 '!E33,"0,00")</f>
        <v>0,00</v>
      </c>
      <c r="D31" s="519" t="str">
        <f>IF('приложение 1.1 '!G33=2016,'приложение 1.1 '!D33,"0,00")</f>
        <v>0,00</v>
      </c>
      <c r="E31" s="519" t="str">
        <f>IF('приложение 1.1 '!G33=2017,'приложение 1.1 '!E33,"0,00")</f>
        <v>0,00</v>
      </c>
      <c r="F31" s="519" t="str">
        <f>IF('приложение 1.1 '!G33=2017,'приложение 1.1 '!D33,"0,00")</f>
        <v>0,00</v>
      </c>
      <c r="G31" s="519">
        <f>IF('приложение 1.1 '!G33=2018,'приложение 1.1 '!E33,"0,00")</f>
        <v>0</v>
      </c>
      <c r="H31" s="519">
        <f>IF('приложение 1.1 '!G33=2018,'приложение 1.1 '!D33,"0,00")</f>
        <v>0</v>
      </c>
      <c r="I31" s="519" t="str">
        <f>IF('приложение 1.1 '!G33=2019,'приложение 1.1 '!E33,"0,00")</f>
        <v>0,00</v>
      </c>
      <c r="J31" s="519" t="str">
        <f>IF('приложение 1.1 '!G33=2019,'приложение 1.1 '!D33,"0,00")</f>
        <v>0,00</v>
      </c>
      <c r="K31" s="519" t="str">
        <f>IF('приложение 1.1 '!G33=2020,'приложение 1.1 '!E33,"0,00")</f>
        <v>0,00</v>
      </c>
      <c r="L31" s="519" t="str">
        <f>IF('приложение 1.1 '!G33=2020,'приложение 1.1 '!D33,"0,00")</f>
        <v>0,00</v>
      </c>
      <c r="M31" s="519">
        <f t="shared" ref="M31" si="44">SUM(C31,E31,K31,G31,I31)</f>
        <v>0</v>
      </c>
      <c r="N31" s="519">
        <f t="shared" ref="N31" si="45">SUM(D31,F31,L31,H31,J31)</f>
        <v>0</v>
      </c>
      <c r="O31" s="519">
        <v>0</v>
      </c>
      <c r="P31" s="519" t="str">
        <f t="shared" ref="P31:P32" si="46">D31</f>
        <v>0,00</v>
      </c>
      <c r="Q31" s="519">
        <v>0</v>
      </c>
      <c r="R31" s="519" t="str">
        <f t="shared" ref="R31:R32" si="47">F31</f>
        <v>0,00</v>
      </c>
      <c r="S31" s="519">
        <v>0</v>
      </c>
      <c r="T31" s="519">
        <f t="shared" ref="T31:T32" si="48">H31</f>
        <v>0</v>
      </c>
      <c r="U31" s="519">
        <v>0</v>
      </c>
      <c r="V31" s="519" t="str">
        <f t="shared" ref="V31:V32" si="49">J31</f>
        <v>0,00</v>
      </c>
      <c r="W31" s="519">
        <v>0</v>
      </c>
      <c r="X31" s="519" t="str">
        <f t="shared" ref="X31:X32" si="50">L31</f>
        <v>0,00</v>
      </c>
      <c r="Y31" s="519">
        <f t="shared" ref="Y31:Z32" si="51">SUM(O31,Q31,W31,S31,U31)</f>
        <v>0</v>
      </c>
      <c r="Z31" s="522">
        <f t="shared" si="51"/>
        <v>0</v>
      </c>
      <c r="AA31" s="522">
        <f>AU31/1.18</f>
        <v>0.6419999999999999</v>
      </c>
      <c r="AB31" s="547"/>
      <c r="AC31" s="547"/>
      <c r="AD31" s="547"/>
      <c r="AE31" s="547"/>
      <c r="AF31" s="547"/>
      <c r="AG31" s="547"/>
      <c r="AH31" s="547"/>
      <c r="AI31" s="547"/>
      <c r="AJ31" s="546">
        <f t="shared" ref="AJ31" si="52">AB31+AD31+AF31+AH31</f>
        <v>0</v>
      </c>
      <c r="AK31" s="546">
        <f t="shared" ref="AK31" si="53">AC31+AE31+AG31+AI31</f>
        <v>0</v>
      </c>
      <c r="AL31" s="546"/>
      <c r="AM31" s="546"/>
      <c r="AN31" s="546">
        <f>AP31</f>
        <v>0</v>
      </c>
      <c r="AO31" s="546"/>
      <c r="AP31" s="546">
        <f>'приложение 1.1 '!X33</f>
        <v>0</v>
      </c>
      <c r="AQ31" s="546">
        <f>'приложение 1.1 '!W33</f>
        <v>0</v>
      </c>
      <c r="AR31" s="546">
        <f>'приложение 1.1 '!Y33</f>
        <v>0.7575599999999999</v>
      </c>
      <c r="AS31" s="546">
        <f>'приложение 1.1 '!Z33</f>
        <v>0</v>
      </c>
      <c r="AT31" s="546">
        <f>'приложение 1.1 '!AA33</f>
        <v>0</v>
      </c>
      <c r="AU31" s="545">
        <f>SUM(AP31:AT31)</f>
        <v>0.7575599999999999</v>
      </c>
    </row>
    <row r="32" spans="1:47" ht="31.5">
      <c r="A32" s="359" t="str">
        <f>'приложение 1.1 '!A34</f>
        <v>1.3.2.</v>
      </c>
      <c r="B32" s="503" t="str">
        <f>'приложение 1.1 '!B34</f>
        <v>Монтаж системы АИИС КУЭ на ПС №121 -35/6кВ</v>
      </c>
      <c r="C32" s="519" t="str">
        <f>IF('приложение 1.1 '!G34=2016,'приложение 1.1 '!E34,"0,00")</f>
        <v>0,00</v>
      </c>
      <c r="D32" s="519" t="str">
        <f>IF('приложение 1.1 '!G34=2016,'приложение 1.1 '!D34,"0,00")</f>
        <v>0,00</v>
      </c>
      <c r="E32" s="519" t="str">
        <f>IF('приложение 1.1 '!G34=2017,'приложение 1.1 '!E34,"0,00")</f>
        <v>0,00</v>
      </c>
      <c r="F32" s="519" t="str">
        <f>IF('приложение 1.1 '!G34=2017,'приложение 1.1 '!D34,"0,00")</f>
        <v>0,00</v>
      </c>
      <c r="G32" s="519" t="str">
        <f>IF('приложение 1.1 '!G34=2018,'приложение 1.1 '!E34,"0,00")</f>
        <v>0,00</v>
      </c>
      <c r="H32" s="519" t="str">
        <f>IF('приложение 1.1 '!G34=2018,'приложение 1.1 '!D34,"0,00")</f>
        <v>0,00</v>
      </c>
      <c r="I32" s="519">
        <f>IF('приложение 1.1 '!G34=2019,'приложение 1.1 '!E34,"0,00")</f>
        <v>0</v>
      </c>
      <c r="J32" s="519">
        <f>IF('приложение 1.1 '!G34=2019,'приложение 1.1 '!D34,"0,00")</f>
        <v>0</v>
      </c>
      <c r="K32" s="519" t="str">
        <f>IF('приложение 1.1 '!G34=2020,'приложение 1.1 '!E34,"0,00")</f>
        <v>0,00</v>
      </c>
      <c r="L32" s="519" t="str">
        <f>IF('приложение 1.1 '!G34=2020,'приложение 1.1 '!D34,"0,00")</f>
        <v>0,00</v>
      </c>
      <c r="M32" s="519">
        <f t="shared" ref="M32" si="54">SUM(C32,E32,K32,G32,I32)</f>
        <v>0</v>
      </c>
      <c r="N32" s="519">
        <f t="shared" ref="N32" si="55">SUM(D32,F32,L32,H32,J32)</f>
        <v>0</v>
      </c>
      <c r="O32" s="519">
        <v>0</v>
      </c>
      <c r="P32" s="519" t="str">
        <f t="shared" si="46"/>
        <v>0,00</v>
      </c>
      <c r="Q32" s="519">
        <v>0</v>
      </c>
      <c r="R32" s="519" t="str">
        <f t="shared" si="47"/>
        <v>0,00</v>
      </c>
      <c r="S32" s="519">
        <v>0</v>
      </c>
      <c r="T32" s="519" t="str">
        <f t="shared" si="48"/>
        <v>0,00</v>
      </c>
      <c r="U32" s="519">
        <v>0</v>
      </c>
      <c r="V32" s="519">
        <f t="shared" si="49"/>
        <v>0</v>
      </c>
      <c r="W32" s="519">
        <v>0</v>
      </c>
      <c r="X32" s="519" t="str">
        <f t="shared" si="50"/>
        <v>0,00</v>
      </c>
      <c r="Y32" s="519">
        <f t="shared" si="51"/>
        <v>0</v>
      </c>
      <c r="Z32" s="522">
        <f t="shared" si="51"/>
        <v>0</v>
      </c>
      <c r="AA32" s="522">
        <f>AU32/1.18</f>
        <v>0.6419999999999999</v>
      </c>
      <c r="AB32" s="547"/>
      <c r="AC32" s="547"/>
      <c r="AD32" s="547"/>
      <c r="AE32" s="547"/>
      <c r="AF32" s="547"/>
      <c r="AG32" s="547"/>
      <c r="AH32" s="547"/>
      <c r="AI32" s="547"/>
      <c r="AJ32" s="546">
        <f t="shared" ref="AJ32" si="56">AB32+AD32+AF32+AH32</f>
        <v>0</v>
      </c>
      <c r="AK32" s="546">
        <f t="shared" ref="AK32" si="57">AC32+AE32+AG32+AI32</f>
        <v>0</v>
      </c>
      <c r="AL32" s="546"/>
      <c r="AM32" s="546"/>
      <c r="AN32" s="546"/>
      <c r="AO32" s="546"/>
      <c r="AP32" s="546">
        <f>'приложение 1.1 '!X34</f>
        <v>0</v>
      </c>
      <c r="AQ32" s="546">
        <f>'приложение 1.1 '!W34</f>
        <v>0</v>
      </c>
      <c r="AR32" s="546">
        <f>'приложение 1.1 '!Y34</f>
        <v>0</v>
      </c>
      <c r="AS32" s="546">
        <f>'приложение 1.1 '!Z34</f>
        <v>0.7575599999999999</v>
      </c>
      <c r="AT32" s="546">
        <f>'приложение 1.1 '!AA34</f>
        <v>0</v>
      </c>
      <c r="AU32" s="545">
        <f t="shared" ref="AU32" si="58">SUM(AP32:AT32)</f>
        <v>0.7575599999999999</v>
      </c>
    </row>
    <row r="33" spans="1:47">
      <c r="A33" s="461"/>
      <c r="B33" s="180" t="s">
        <v>220</v>
      </c>
      <c r="C33" s="520">
        <f t="shared" ref="C33:AU33" si="59">SUM(C31:C32)</f>
        <v>0</v>
      </c>
      <c r="D33" s="520">
        <f t="shared" si="59"/>
        <v>0</v>
      </c>
      <c r="E33" s="520">
        <f t="shared" si="59"/>
        <v>0</v>
      </c>
      <c r="F33" s="520">
        <f t="shared" si="59"/>
        <v>0</v>
      </c>
      <c r="G33" s="520">
        <f t="shared" si="59"/>
        <v>0</v>
      </c>
      <c r="H33" s="520">
        <f t="shared" si="59"/>
        <v>0</v>
      </c>
      <c r="I33" s="520">
        <f t="shared" si="59"/>
        <v>0</v>
      </c>
      <c r="J33" s="520">
        <f t="shared" si="59"/>
        <v>0</v>
      </c>
      <c r="K33" s="520">
        <f t="shared" si="59"/>
        <v>0</v>
      </c>
      <c r="L33" s="520">
        <f t="shared" si="59"/>
        <v>0</v>
      </c>
      <c r="M33" s="520">
        <f t="shared" si="59"/>
        <v>0</v>
      </c>
      <c r="N33" s="520">
        <f t="shared" si="59"/>
        <v>0</v>
      </c>
      <c r="O33" s="520">
        <f t="shared" si="59"/>
        <v>0</v>
      </c>
      <c r="P33" s="520">
        <f t="shared" si="59"/>
        <v>0</v>
      </c>
      <c r="Q33" s="520">
        <f t="shared" si="59"/>
        <v>0</v>
      </c>
      <c r="R33" s="520">
        <f t="shared" si="59"/>
        <v>0</v>
      </c>
      <c r="S33" s="520">
        <f t="shared" si="59"/>
        <v>0</v>
      </c>
      <c r="T33" s="520">
        <f t="shared" si="59"/>
        <v>0</v>
      </c>
      <c r="U33" s="520">
        <f t="shared" si="59"/>
        <v>0</v>
      </c>
      <c r="V33" s="520">
        <f t="shared" si="59"/>
        <v>0</v>
      </c>
      <c r="W33" s="520">
        <f t="shared" si="59"/>
        <v>0</v>
      </c>
      <c r="X33" s="520">
        <f t="shared" si="59"/>
        <v>0</v>
      </c>
      <c r="Y33" s="520">
        <f t="shared" si="59"/>
        <v>0</v>
      </c>
      <c r="Z33" s="520">
        <f t="shared" si="59"/>
        <v>0</v>
      </c>
      <c r="AA33" s="520">
        <f t="shared" si="59"/>
        <v>1.2839999999999998</v>
      </c>
      <c r="AB33" s="541">
        <f t="shared" si="59"/>
        <v>0</v>
      </c>
      <c r="AC33" s="541">
        <f t="shared" si="59"/>
        <v>0</v>
      </c>
      <c r="AD33" s="541">
        <f t="shared" si="59"/>
        <v>0</v>
      </c>
      <c r="AE33" s="541">
        <f t="shared" si="59"/>
        <v>0</v>
      </c>
      <c r="AF33" s="541">
        <f t="shared" si="59"/>
        <v>0</v>
      </c>
      <c r="AG33" s="541">
        <f t="shared" si="59"/>
        <v>0</v>
      </c>
      <c r="AH33" s="541">
        <f t="shared" si="59"/>
        <v>0</v>
      </c>
      <c r="AI33" s="541">
        <f t="shared" si="59"/>
        <v>0</v>
      </c>
      <c r="AJ33" s="541">
        <f t="shared" si="59"/>
        <v>0</v>
      </c>
      <c r="AK33" s="541">
        <f t="shared" si="59"/>
        <v>0</v>
      </c>
      <c r="AL33" s="541">
        <f t="shared" si="59"/>
        <v>0</v>
      </c>
      <c r="AM33" s="541">
        <f t="shared" si="59"/>
        <v>0</v>
      </c>
      <c r="AN33" s="541">
        <f t="shared" si="59"/>
        <v>0</v>
      </c>
      <c r="AO33" s="541">
        <f t="shared" si="59"/>
        <v>0</v>
      </c>
      <c r="AP33" s="541">
        <f t="shared" si="59"/>
        <v>0</v>
      </c>
      <c r="AQ33" s="541">
        <f t="shared" si="59"/>
        <v>0</v>
      </c>
      <c r="AR33" s="541">
        <f t="shared" si="59"/>
        <v>0.7575599999999999</v>
      </c>
      <c r="AS33" s="541">
        <f t="shared" si="59"/>
        <v>0.7575599999999999</v>
      </c>
      <c r="AT33" s="541">
        <f t="shared" si="59"/>
        <v>0</v>
      </c>
      <c r="AU33" s="541">
        <f t="shared" si="59"/>
        <v>1.5151199999999998</v>
      </c>
    </row>
    <row r="34" spans="1:47" hidden="1" outlineLevel="1">
      <c r="A34" s="465">
        <v>2</v>
      </c>
      <c r="B34" s="181" t="s">
        <v>89</v>
      </c>
      <c r="C34" s="231">
        <f>C37</f>
        <v>0</v>
      </c>
      <c r="D34" s="231">
        <f t="shared" ref="D34:X34" si="60">D37</f>
        <v>0</v>
      </c>
      <c r="E34" s="231">
        <f t="shared" si="60"/>
        <v>0</v>
      </c>
      <c r="F34" s="231">
        <f t="shared" si="60"/>
        <v>0</v>
      </c>
      <c r="G34" s="231"/>
      <c r="H34" s="231"/>
      <c r="I34" s="231"/>
      <c r="J34" s="231"/>
      <c r="K34" s="231">
        <f t="shared" si="60"/>
        <v>0</v>
      </c>
      <c r="L34" s="231">
        <f t="shared" si="60"/>
        <v>0</v>
      </c>
      <c r="M34" s="231">
        <f t="shared" si="60"/>
        <v>0</v>
      </c>
      <c r="N34" s="231">
        <f t="shared" si="60"/>
        <v>0</v>
      </c>
      <c r="O34" s="231">
        <f t="shared" si="60"/>
        <v>0</v>
      </c>
      <c r="P34" s="231">
        <f t="shared" si="60"/>
        <v>0</v>
      </c>
      <c r="Q34" s="231">
        <f t="shared" si="60"/>
        <v>0</v>
      </c>
      <c r="R34" s="231">
        <f t="shared" si="60"/>
        <v>0</v>
      </c>
      <c r="S34" s="231"/>
      <c r="T34" s="231"/>
      <c r="U34" s="231"/>
      <c r="V34" s="231"/>
      <c r="W34" s="231">
        <f t="shared" si="60"/>
        <v>0</v>
      </c>
      <c r="X34" s="231">
        <f t="shared" si="60"/>
        <v>0</v>
      </c>
      <c r="Y34" s="231">
        <f>Y37</f>
        <v>0</v>
      </c>
      <c r="Z34" s="414">
        <f>Z37</f>
        <v>0</v>
      </c>
      <c r="AA34" s="414">
        <f>AA37</f>
        <v>0</v>
      </c>
      <c r="AB34" s="414">
        <f t="shared" ref="AB34:AU34" si="61">AB37</f>
        <v>0</v>
      </c>
      <c r="AC34" s="414">
        <f t="shared" si="61"/>
        <v>0</v>
      </c>
      <c r="AD34" s="414">
        <f t="shared" si="61"/>
        <v>0</v>
      </c>
      <c r="AE34" s="414">
        <f t="shared" si="61"/>
        <v>0</v>
      </c>
      <c r="AF34" s="414">
        <f t="shared" si="61"/>
        <v>0</v>
      </c>
      <c r="AG34" s="414">
        <f t="shared" si="61"/>
        <v>0</v>
      </c>
      <c r="AH34" s="414">
        <f t="shared" si="61"/>
        <v>0</v>
      </c>
      <c r="AI34" s="414">
        <f t="shared" si="61"/>
        <v>0</v>
      </c>
      <c r="AJ34" s="231">
        <f t="shared" si="61"/>
        <v>0</v>
      </c>
      <c r="AK34" s="231">
        <f t="shared" si="61"/>
        <v>0</v>
      </c>
      <c r="AL34" s="231">
        <f t="shared" si="61"/>
        <v>0</v>
      </c>
      <c r="AM34" s="231">
        <f t="shared" si="61"/>
        <v>0</v>
      </c>
      <c r="AN34" s="231">
        <f>AN37</f>
        <v>0</v>
      </c>
      <c r="AO34" s="231">
        <f t="shared" si="61"/>
        <v>0</v>
      </c>
      <c r="AP34" s="231">
        <f t="shared" si="61"/>
        <v>0</v>
      </c>
      <c r="AQ34" s="231">
        <f t="shared" si="61"/>
        <v>0</v>
      </c>
      <c r="AR34" s="231"/>
      <c r="AS34" s="231"/>
      <c r="AT34" s="231">
        <f t="shared" si="61"/>
        <v>0</v>
      </c>
      <c r="AU34" s="231">
        <f t="shared" si="61"/>
        <v>0</v>
      </c>
    </row>
    <row r="35" spans="1:47" ht="31.5" hidden="1" outlineLevel="1">
      <c r="A35" s="465" t="s">
        <v>256</v>
      </c>
      <c r="B35" s="180" t="s">
        <v>160</v>
      </c>
      <c r="C35" s="226"/>
      <c r="D35" s="182"/>
      <c r="E35" s="226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183"/>
      <c r="Q35" s="227"/>
      <c r="R35" s="227"/>
      <c r="S35" s="227"/>
      <c r="T35" s="227"/>
      <c r="U35" s="227"/>
      <c r="V35" s="227"/>
      <c r="W35" s="227"/>
      <c r="X35" s="227"/>
      <c r="Y35" s="229"/>
      <c r="Z35" s="415"/>
      <c r="AA35" s="415"/>
      <c r="AB35" s="229"/>
      <c r="AC35" s="229"/>
      <c r="AD35" s="229"/>
      <c r="AE35" s="229"/>
      <c r="AF35" s="229"/>
      <c r="AG35" s="229"/>
      <c r="AH35" s="229"/>
      <c r="AI35" s="229"/>
      <c r="AJ35" s="417"/>
      <c r="AK35" s="417"/>
      <c r="AL35" s="229"/>
      <c r="AM35" s="229"/>
      <c r="AN35" s="229"/>
      <c r="AO35" s="229"/>
      <c r="AP35" s="229"/>
      <c r="AQ35" s="229"/>
      <c r="AR35" s="229"/>
      <c r="AS35" s="229"/>
      <c r="AT35" s="229"/>
      <c r="AU35" s="229"/>
    </row>
    <row r="36" spans="1:47" hidden="1" outlineLevel="1">
      <c r="A36" s="465" t="s">
        <v>483</v>
      </c>
      <c r="B36" s="180" t="str">
        <f>'приложение 1.1 '!B38</f>
        <v>Подстанции 35/ 6/10кВ</v>
      </c>
      <c r="C36" s="212"/>
      <c r="D36" s="212"/>
      <c r="E36" s="212"/>
      <c r="F36" s="212"/>
      <c r="G36" s="212"/>
      <c r="H36" s="212"/>
      <c r="I36" s="212"/>
      <c r="J36" s="212"/>
      <c r="K36" s="212"/>
      <c r="L36" s="212"/>
      <c r="M36" s="212"/>
      <c r="N36" s="212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12"/>
      <c r="Z36" s="413"/>
      <c r="AA36" s="413">
        <f>AU36/1.18</f>
        <v>0</v>
      </c>
      <c r="AB36" s="229"/>
      <c r="AC36" s="229"/>
      <c r="AD36" s="229"/>
      <c r="AE36" s="229"/>
      <c r="AF36" s="229"/>
      <c r="AG36" s="229"/>
      <c r="AH36" s="229"/>
      <c r="AI36" s="229"/>
      <c r="AJ36" s="417"/>
      <c r="AK36" s="417"/>
      <c r="AL36" s="229"/>
      <c r="AM36" s="229"/>
      <c r="AN36" s="229"/>
      <c r="AO36" s="230"/>
      <c r="AP36" s="230"/>
      <c r="AQ36" s="230"/>
      <c r="AR36" s="230"/>
      <c r="AS36" s="230"/>
      <c r="AT36" s="230"/>
      <c r="AU36" s="419"/>
    </row>
    <row r="37" spans="1:47" hidden="1" outlineLevel="1">
      <c r="A37" s="462"/>
      <c r="B37" s="180" t="s">
        <v>294</v>
      </c>
      <c r="C37" s="228">
        <f>SUM(C36:C36)</f>
        <v>0</v>
      </c>
      <c r="D37" s="228">
        <f t="shared" ref="D37:AU37" si="62">SUM(D36:D36)</f>
        <v>0</v>
      </c>
      <c r="E37" s="228">
        <f t="shared" si="62"/>
        <v>0</v>
      </c>
      <c r="F37" s="228">
        <f t="shared" si="62"/>
        <v>0</v>
      </c>
      <c r="G37" s="228"/>
      <c r="H37" s="228"/>
      <c r="I37" s="228"/>
      <c r="J37" s="228"/>
      <c r="K37" s="228">
        <f t="shared" si="62"/>
        <v>0</v>
      </c>
      <c r="L37" s="228">
        <f t="shared" si="62"/>
        <v>0</v>
      </c>
      <c r="M37" s="228">
        <f t="shared" si="62"/>
        <v>0</v>
      </c>
      <c r="N37" s="228">
        <f t="shared" si="62"/>
        <v>0</v>
      </c>
      <c r="O37" s="228">
        <f t="shared" si="62"/>
        <v>0</v>
      </c>
      <c r="P37" s="228">
        <f t="shared" si="62"/>
        <v>0</v>
      </c>
      <c r="Q37" s="228">
        <f t="shared" si="62"/>
        <v>0</v>
      </c>
      <c r="R37" s="228">
        <f t="shared" si="62"/>
        <v>0</v>
      </c>
      <c r="S37" s="228"/>
      <c r="T37" s="228"/>
      <c r="U37" s="228"/>
      <c r="V37" s="228"/>
      <c r="W37" s="228">
        <f t="shared" si="62"/>
        <v>0</v>
      </c>
      <c r="X37" s="228">
        <f t="shared" si="62"/>
        <v>0</v>
      </c>
      <c r="Y37" s="228">
        <f t="shared" si="62"/>
        <v>0</v>
      </c>
      <c r="Z37" s="228">
        <f t="shared" si="62"/>
        <v>0</v>
      </c>
      <c r="AA37" s="228">
        <f t="shared" si="62"/>
        <v>0</v>
      </c>
      <c r="AB37" s="228">
        <f t="shared" si="62"/>
        <v>0</v>
      </c>
      <c r="AC37" s="228">
        <f t="shared" si="62"/>
        <v>0</v>
      </c>
      <c r="AD37" s="228">
        <f t="shared" si="62"/>
        <v>0</v>
      </c>
      <c r="AE37" s="228">
        <f t="shared" si="62"/>
        <v>0</v>
      </c>
      <c r="AF37" s="228">
        <f t="shared" si="62"/>
        <v>0</v>
      </c>
      <c r="AG37" s="228">
        <f t="shared" si="62"/>
        <v>0</v>
      </c>
      <c r="AH37" s="228">
        <f t="shared" si="62"/>
        <v>0</v>
      </c>
      <c r="AI37" s="228">
        <f t="shared" si="62"/>
        <v>0</v>
      </c>
      <c r="AJ37" s="228">
        <f t="shared" si="62"/>
        <v>0</v>
      </c>
      <c r="AK37" s="228">
        <f t="shared" si="62"/>
        <v>0</v>
      </c>
      <c r="AL37" s="228">
        <f t="shared" si="62"/>
        <v>0</v>
      </c>
      <c r="AM37" s="228">
        <f t="shared" si="62"/>
        <v>0</v>
      </c>
      <c r="AN37" s="228">
        <f t="shared" si="62"/>
        <v>0</v>
      </c>
      <c r="AO37" s="228">
        <f t="shared" si="62"/>
        <v>0</v>
      </c>
      <c r="AP37" s="228">
        <f t="shared" si="62"/>
        <v>0</v>
      </c>
      <c r="AQ37" s="228">
        <f t="shared" si="62"/>
        <v>0</v>
      </c>
      <c r="AR37" s="228"/>
      <c r="AS37" s="228"/>
      <c r="AT37" s="228">
        <f t="shared" si="62"/>
        <v>0</v>
      </c>
      <c r="AU37" s="228">
        <f t="shared" si="62"/>
        <v>0</v>
      </c>
    </row>
    <row r="38" spans="1:47" collapsed="1">
      <c r="A38" s="425"/>
      <c r="B38" s="426"/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27"/>
      <c r="O38" s="427"/>
      <c r="P38" s="427"/>
      <c r="Q38" s="427"/>
      <c r="R38" s="427"/>
      <c r="S38" s="427"/>
      <c r="T38" s="427"/>
      <c r="U38" s="427"/>
      <c r="V38" s="427"/>
      <c r="W38" s="427"/>
      <c r="X38" s="427"/>
      <c r="Y38" s="427"/>
      <c r="Z38" s="427"/>
      <c r="AA38" s="427"/>
      <c r="AB38" s="427"/>
      <c r="AC38" s="427"/>
      <c r="AD38" s="427"/>
      <c r="AE38" s="427"/>
      <c r="AF38" s="427"/>
      <c r="AG38" s="427"/>
      <c r="AH38" s="427"/>
      <c r="AI38" s="427"/>
      <c r="AJ38" s="427"/>
      <c r="AK38" s="427"/>
      <c r="AL38" s="427"/>
      <c r="AM38" s="427"/>
      <c r="AN38" s="427"/>
      <c r="AO38" s="427"/>
      <c r="AP38" s="427"/>
      <c r="AQ38" s="427"/>
      <c r="AR38" s="427"/>
      <c r="AS38" s="427"/>
      <c r="AT38" s="427"/>
      <c r="AU38" s="427"/>
    </row>
    <row r="39" spans="1:47">
      <c r="A39" s="425" t="s">
        <v>514</v>
      </c>
      <c r="B39" s="428" t="s">
        <v>511</v>
      </c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  <c r="S39" s="427"/>
      <c r="T39" s="427"/>
      <c r="U39" s="427"/>
      <c r="V39" s="427"/>
      <c r="W39" s="427"/>
      <c r="X39" s="427"/>
      <c r="Y39" s="427"/>
      <c r="Z39" s="427"/>
      <c r="AA39" s="427"/>
      <c r="AB39" s="427"/>
      <c r="AC39" s="427"/>
      <c r="AD39" s="427"/>
      <c r="AE39" s="427"/>
      <c r="AF39" s="427"/>
      <c r="AG39" s="427"/>
      <c r="AH39" s="427"/>
      <c r="AI39" s="427"/>
      <c r="AJ39" s="427"/>
      <c r="AK39" s="427"/>
      <c r="AL39" s="427"/>
      <c r="AM39" s="427"/>
      <c r="AN39" s="427"/>
      <c r="AO39" s="427"/>
      <c r="AP39" s="427"/>
      <c r="AQ39" s="427"/>
      <c r="AR39" s="427"/>
      <c r="AS39" s="427"/>
      <c r="AT39" s="427"/>
      <c r="AU39" s="427"/>
    </row>
    <row r="40" spans="1:47">
      <c r="A40" s="425" t="s">
        <v>515</v>
      </c>
      <c r="B40" s="428" t="s">
        <v>512</v>
      </c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  <c r="S40" s="427"/>
      <c r="T40" s="427"/>
      <c r="U40" s="427"/>
      <c r="V40" s="427"/>
      <c r="W40" s="427"/>
      <c r="X40" s="427"/>
      <c r="Y40" s="427"/>
      <c r="Z40" s="427"/>
      <c r="AA40" s="427"/>
      <c r="AB40" s="427"/>
      <c r="AC40" s="427"/>
      <c r="AD40" s="427"/>
      <c r="AE40" s="427"/>
      <c r="AF40" s="427"/>
      <c r="AG40" s="427"/>
      <c r="AH40" s="427"/>
      <c r="AI40" s="427"/>
      <c r="AJ40" s="427"/>
      <c r="AK40" s="427"/>
      <c r="AL40" s="427"/>
      <c r="AM40" s="427"/>
      <c r="AN40" s="427"/>
      <c r="AO40" s="427"/>
      <c r="AP40" s="427"/>
      <c r="AQ40" s="427"/>
      <c r="AR40" s="427"/>
      <c r="AS40" s="427"/>
      <c r="AT40" s="427"/>
      <c r="AU40" s="427"/>
    </row>
    <row r="41" spans="1:47">
      <c r="A41" s="425" t="s">
        <v>516</v>
      </c>
      <c r="B41" s="428" t="s">
        <v>513</v>
      </c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  <c r="S41" s="427"/>
      <c r="T41" s="427"/>
      <c r="U41" s="427"/>
      <c r="V41" s="427"/>
      <c r="W41" s="427"/>
      <c r="X41" s="427"/>
      <c r="Y41" s="427"/>
      <c r="Z41" s="427"/>
      <c r="AA41" s="427"/>
      <c r="AB41" s="427"/>
      <c r="AC41" s="427"/>
      <c r="AD41" s="427"/>
      <c r="AE41" s="427"/>
      <c r="AF41" s="427"/>
      <c r="AG41" s="427"/>
      <c r="AH41" s="427"/>
      <c r="AI41" s="427"/>
      <c r="AJ41" s="427"/>
      <c r="AK41" s="427"/>
      <c r="AL41" s="427"/>
      <c r="AM41" s="427"/>
      <c r="AN41" s="427"/>
      <c r="AO41" s="427"/>
      <c r="AP41" s="427"/>
      <c r="AQ41" s="427"/>
      <c r="AR41" s="427"/>
      <c r="AS41" s="427"/>
      <c r="AT41" s="427"/>
      <c r="AU41" s="427"/>
    </row>
    <row r="42" spans="1:47">
      <c r="A42" s="425"/>
      <c r="B42" s="426"/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  <c r="S42" s="427"/>
      <c r="T42" s="427"/>
      <c r="U42" s="427"/>
      <c r="V42" s="427"/>
      <c r="W42" s="427"/>
      <c r="X42" s="427"/>
      <c r="Y42" s="427"/>
      <c r="Z42" s="427"/>
      <c r="AA42" s="427"/>
      <c r="AB42" s="427"/>
      <c r="AC42" s="427"/>
      <c r="AD42" s="427"/>
      <c r="AE42" s="427"/>
      <c r="AF42" s="427"/>
      <c r="AG42" s="427"/>
      <c r="AH42" s="427"/>
      <c r="AI42" s="427"/>
      <c r="AJ42" s="427"/>
      <c r="AK42" s="427"/>
      <c r="AL42" s="427"/>
      <c r="AM42" s="427"/>
      <c r="AN42" s="427"/>
      <c r="AO42" s="427"/>
      <c r="AP42" s="427"/>
      <c r="AQ42" s="427"/>
      <c r="AR42" s="427"/>
      <c r="AS42" s="427"/>
      <c r="AT42" s="427"/>
      <c r="AU42" s="427"/>
    </row>
    <row r="43" spans="1:47">
      <c r="A43" s="425"/>
      <c r="B43" s="428" t="s">
        <v>60</v>
      </c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  <c r="S43" s="427"/>
      <c r="T43" s="427"/>
      <c r="U43" s="427"/>
      <c r="V43" s="427"/>
      <c r="W43" s="427"/>
      <c r="X43" s="427"/>
      <c r="Y43" s="427"/>
      <c r="Z43" s="427"/>
      <c r="AA43" s="427"/>
      <c r="AB43" s="427"/>
      <c r="AC43" s="427"/>
      <c r="AD43" s="427"/>
      <c r="AE43" s="427"/>
      <c r="AF43" s="427"/>
      <c r="AG43" s="427"/>
      <c r="AH43" s="427"/>
      <c r="AI43" s="427"/>
      <c r="AJ43" s="427"/>
      <c r="AK43" s="427"/>
      <c r="AL43" s="427"/>
      <c r="AM43" s="427"/>
      <c r="AN43" s="427"/>
      <c r="AO43" s="427"/>
      <c r="AP43" s="427"/>
      <c r="AQ43" s="427"/>
      <c r="AR43" s="427"/>
      <c r="AS43" s="427"/>
      <c r="AT43" s="427"/>
      <c r="AU43" s="427"/>
    </row>
    <row r="44" spans="1:47">
      <c r="B44" s="232"/>
      <c r="C44" s="233"/>
      <c r="D44" s="233"/>
      <c r="E44" s="234"/>
      <c r="F44" s="233"/>
      <c r="G44" s="233"/>
      <c r="H44" s="233"/>
      <c r="I44" s="233"/>
      <c r="J44" s="233"/>
      <c r="K44" s="233"/>
      <c r="L44" s="233"/>
      <c r="M44" s="233"/>
      <c r="N44" s="233"/>
      <c r="O44" s="233"/>
      <c r="P44" s="233"/>
      <c r="Q44" s="233"/>
      <c r="R44" s="233"/>
      <c r="S44" s="233"/>
      <c r="T44" s="233"/>
      <c r="U44" s="233"/>
      <c r="V44" s="233"/>
      <c r="W44" s="233"/>
      <c r="X44" s="233"/>
    </row>
    <row r="45" spans="1:47">
      <c r="B45" s="232"/>
      <c r="C45" s="184"/>
      <c r="D45" s="184"/>
      <c r="E45" s="184"/>
      <c r="F45" s="184"/>
      <c r="G45" s="184"/>
      <c r="H45" s="184"/>
      <c r="I45" s="184"/>
      <c r="J45" s="184"/>
      <c r="K45" s="184"/>
      <c r="L45" s="184"/>
      <c r="M45" s="184"/>
      <c r="N45" s="184"/>
      <c r="O45" s="184"/>
      <c r="P45" s="184"/>
      <c r="Q45" s="184"/>
      <c r="R45" s="184"/>
      <c r="S45" s="184"/>
      <c r="T45" s="184"/>
      <c r="U45" s="184"/>
      <c r="V45" s="184"/>
      <c r="W45" s="184"/>
      <c r="X45" s="184"/>
    </row>
  </sheetData>
  <customSheetViews>
    <customSheetView guid="{8313A758-6764-4FAF-B5C3-0AC63E11C07D}" scale="70" showPageBreaks="1" printArea="1" hiddenRows="1" view="pageBreakPreview" topLeftCell="C4">
      <selection activeCell="C17" sqref="C17:AU34"/>
      <pageMargins left="0.43307086614173229" right="0.39370078740157483" top="0.39370078740157483" bottom="0.59055118110236227" header="0" footer="0"/>
      <printOptions horizontalCentered="1"/>
      <pageSetup paperSize="8" scale="48" fitToHeight="0" orientation="landscape" r:id="rId1"/>
      <headerFooter alignWithMargins="0">
        <oddFooter>&amp;R&amp;P</oddFooter>
      </headerFooter>
    </customSheetView>
    <customSheetView guid="{39750778-B4CA-4A61-A93E-2C57443220F3}" scale="70" showPageBreaks="1" printArea="1" hiddenRows="1" view="pageBreakPreview">
      <selection activeCell="G21" sqref="G21"/>
      <pageMargins left="0.43307086614173229" right="0.39370078740157483" top="0.39370078740157483" bottom="0.59055118110236227" header="0" footer="0"/>
      <printOptions horizontalCentered="1"/>
      <pageSetup paperSize="8" scale="48" fitToHeight="0" orientation="landscape" r:id="rId2"/>
      <headerFooter alignWithMargins="0">
        <oddFooter>&amp;R&amp;P</oddFooter>
      </headerFooter>
    </customSheetView>
  </customSheetViews>
  <mergeCells count="43">
    <mergeCell ref="G15:H15"/>
    <mergeCell ref="I15:J15"/>
    <mergeCell ref="S15:T15"/>
    <mergeCell ref="U15:V15"/>
    <mergeCell ref="Y15:Z15"/>
    <mergeCell ref="AB15:AC15"/>
    <mergeCell ref="AD15:AE15"/>
    <mergeCell ref="AF15:AG15"/>
    <mergeCell ref="AH15:AI15"/>
    <mergeCell ref="AL14:AP14"/>
    <mergeCell ref="S16:T16"/>
    <mergeCell ref="U16:V16"/>
    <mergeCell ref="AJ16:AK16"/>
    <mergeCell ref="Q16:R16"/>
    <mergeCell ref="W16:X16"/>
    <mergeCell ref="Y16:Z16"/>
    <mergeCell ref="AB16:AC16"/>
    <mergeCell ref="AD16:AE16"/>
    <mergeCell ref="AF16:AG16"/>
    <mergeCell ref="AH16:AI16"/>
    <mergeCell ref="C16:D16"/>
    <mergeCell ref="E16:F16"/>
    <mergeCell ref="K16:L16"/>
    <mergeCell ref="M16:N16"/>
    <mergeCell ref="O16:P16"/>
    <mergeCell ref="G16:H16"/>
    <mergeCell ref="I16:J16"/>
    <mergeCell ref="A4:AU4"/>
    <mergeCell ref="A5:AU5"/>
    <mergeCell ref="A13:A15"/>
    <mergeCell ref="B13:B15"/>
    <mergeCell ref="C13:N13"/>
    <mergeCell ref="O13:Z13"/>
    <mergeCell ref="AA13:AA15"/>
    <mergeCell ref="AB13:AU13"/>
    <mergeCell ref="C15:D15"/>
    <mergeCell ref="E15:F15"/>
    <mergeCell ref="K15:L15"/>
    <mergeCell ref="M15:N15"/>
    <mergeCell ref="O15:P15"/>
    <mergeCell ref="Q15:R15"/>
    <mergeCell ref="W15:X15"/>
    <mergeCell ref="AJ15:AK15"/>
  </mergeCells>
  <printOptions horizontalCentered="1"/>
  <pageMargins left="0.43307086614173229" right="0.39370078740157483" top="0.39370078740157483" bottom="0.59055118110236227" header="0" footer="0"/>
  <pageSetup paperSize="8" scale="49" fitToHeight="0" orientation="landscape" r:id="rId3"/>
  <headerFooter alignWithMargins="0"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49"/>
  <sheetViews>
    <sheetView view="pageBreakPreview" zoomScaleNormal="100" zoomScaleSheetLayoutView="100" workbookViewId="0">
      <selection activeCell="D32" sqref="D32"/>
    </sheetView>
  </sheetViews>
  <sheetFormatPr defaultColWidth="1.25" defaultRowHeight="12.75"/>
  <cols>
    <col min="1" max="1" width="8" style="798" customWidth="1"/>
    <col min="2" max="2" width="26.625" style="798" customWidth="1"/>
    <col min="3" max="3" width="9" style="794" customWidth="1"/>
    <col min="4" max="4" width="7.125" style="803" customWidth="1"/>
    <col min="5" max="5" width="8.125" style="803" customWidth="1"/>
    <col min="6" max="6" width="8.375" style="803" customWidth="1"/>
    <col min="7" max="7" width="7.625" style="803" customWidth="1"/>
    <col min="8" max="8" width="7.5" style="803" customWidth="1"/>
    <col min="9" max="9" width="7.625" style="803" customWidth="1"/>
    <col min="10" max="10" width="8.25" style="803" customWidth="1"/>
    <col min="11" max="11" width="7.625" style="803" customWidth="1"/>
    <col min="12" max="12" width="8.875" style="803" customWidth="1"/>
    <col min="13" max="13" width="7.625" style="803" customWidth="1"/>
    <col min="14" max="14" width="9.75" style="803" customWidth="1"/>
    <col min="15" max="15" width="7.875" style="803" customWidth="1"/>
    <col min="16" max="16" width="9.75" style="803" customWidth="1"/>
    <col min="17" max="17" width="9.125" style="803" customWidth="1"/>
    <col min="18" max="18" width="9.25" style="803" customWidth="1"/>
    <col min="19" max="19" width="7.75" style="803" customWidth="1"/>
    <col min="20" max="21" width="7.25" style="803" customWidth="1"/>
    <col min="22" max="22" width="8.875" style="803" customWidth="1"/>
    <col min="23" max="23" width="21.875" style="801" customWidth="1"/>
    <col min="24" max="16384" width="1.25" style="803"/>
  </cols>
  <sheetData>
    <row r="1" spans="1:60" s="739" customFormat="1" ht="14.25">
      <c r="A1" s="737"/>
      <c r="B1" s="738"/>
      <c r="W1" s="740" t="s">
        <v>627</v>
      </c>
      <c r="X1" s="741"/>
      <c r="Y1" s="741"/>
      <c r="Z1" s="741"/>
      <c r="AA1" s="741"/>
      <c r="AB1" s="741"/>
      <c r="AC1" s="741"/>
      <c r="AD1" s="741"/>
      <c r="AE1" s="741"/>
      <c r="AF1" s="741"/>
      <c r="AG1" s="741"/>
      <c r="AH1" s="741"/>
      <c r="AI1" s="741"/>
      <c r="AJ1" s="741"/>
      <c r="AK1" s="741"/>
      <c r="AL1" s="741"/>
      <c r="AM1" s="741"/>
      <c r="AN1" s="741"/>
      <c r="AO1" s="741"/>
      <c r="AP1" s="741"/>
      <c r="AQ1" s="741"/>
      <c r="AR1" s="741"/>
      <c r="AS1" s="741"/>
      <c r="AT1" s="741"/>
      <c r="AU1" s="741"/>
      <c r="AV1" s="741"/>
      <c r="AW1" s="741"/>
      <c r="AX1" s="741"/>
      <c r="AY1" s="741"/>
      <c r="AZ1" s="741"/>
      <c r="BA1" s="741"/>
      <c r="BB1" s="741"/>
      <c r="BC1" s="741"/>
      <c r="BD1" s="741"/>
      <c r="BE1" s="741"/>
      <c r="BF1" s="741"/>
      <c r="BG1" s="741"/>
      <c r="BH1" s="741"/>
    </row>
    <row r="2" spans="1:60" s="739" customFormat="1" ht="14.25">
      <c r="A2" s="737"/>
      <c r="B2" s="738"/>
      <c r="W2" s="740" t="s">
        <v>433</v>
      </c>
      <c r="X2" s="741"/>
      <c r="Y2" s="741"/>
      <c r="Z2" s="741"/>
      <c r="AA2" s="741"/>
      <c r="AB2" s="741"/>
      <c r="AC2" s="741"/>
      <c r="AD2" s="741"/>
      <c r="AE2" s="741"/>
      <c r="AF2" s="741"/>
      <c r="AG2" s="741"/>
      <c r="AH2" s="741"/>
      <c r="AI2" s="741"/>
      <c r="AJ2" s="741"/>
      <c r="AK2" s="741"/>
      <c r="AL2" s="741"/>
      <c r="AM2" s="741"/>
      <c r="AN2" s="741"/>
      <c r="AO2" s="741"/>
      <c r="AP2" s="741"/>
      <c r="AQ2" s="741"/>
      <c r="AR2" s="741"/>
      <c r="AS2" s="741"/>
      <c r="AT2" s="741"/>
      <c r="AU2" s="741"/>
      <c r="AV2" s="741"/>
      <c r="AW2" s="741"/>
      <c r="AX2" s="741"/>
      <c r="AY2" s="741"/>
      <c r="AZ2" s="741"/>
      <c r="BA2" s="741"/>
      <c r="BB2" s="741"/>
      <c r="BC2" s="741"/>
      <c r="BD2" s="741"/>
      <c r="BE2" s="741"/>
      <c r="BF2" s="741"/>
      <c r="BG2" s="741"/>
      <c r="BH2" s="741"/>
    </row>
    <row r="3" spans="1:60" s="739" customFormat="1" ht="14.25">
      <c r="A3" s="737"/>
      <c r="B3" s="738"/>
      <c r="W3" s="740" t="s">
        <v>628</v>
      </c>
      <c r="X3" s="741"/>
      <c r="Y3" s="741"/>
      <c r="Z3" s="741"/>
      <c r="AA3" s="741"/>
      <c r="AB3" s="741"/>
      <c r="AC3" s="741"/>
      <c r="AD3" s="741"/>
      <c r="AE3" s="741"/>
      <c r="AF3" s="741"/>
      <c r="AG3" s="741"/>
      <c r="AH3" s="741"/>
      <c r="AI3" s="741"/>
      <c r="AJ3" s="741"/>
      <c r="AK3" s="741"/>
      <c r="AL3" s="741"/>
      <c r="AM3" s="741"/>
      <c r="AN3" s="741"/>
      <c r="AO3" s="741"/>
      <c r="AP3" s="741"/>
      <c r="AQ3" s="741"/>
      <c r="AR3" s="741"/>
      <c r="AS3" s="741"/>
      <c r="AT3" s="741"/>
      <c r="AU3" s="741"/>
      <c r="AV3" s="741"/>
      <c r="AW3" s="741"/>
      <c r="AX3" s="741"/>
      <c r="AY3" s="741"/>
      <c r="AZ3" s="741"/>
      <c r="BA3" s="741"/>
      <c r="BB3" s="741"/>
      <c r="BC3" s="741"/>
      <c r="BD3" s="741"/>
      <c r="BE3" s="741"/>
      <c r="BF3" s="741"/>
      <c r="BG3" s="741"/>
      <c r="BH3" s="741"/>
    </row>
    <row r="4" spans="1:60" s="739" customFormat="1" ht="14.25">
      <c r="A4" s="737"/>
      <c r="B4" s="738"/>
      <c r="W4" s="742"/>
      <c r="X4" s="741"/>
      <c r="Y4" s="741"/>
      <c r="Z4" s="741"/>
      <c r="AA4" s="741"/>
      <c r="AB4" s="741"/>
      <c r="AC4" s="741"/>
      <c r="AD4" s="741"/>
      <c r="AE4" s="741"/>
      <c r="AF4" s="741"/>
      <c r="AG4" s="741"/>
      <c r="AH4" s="741"/>
      <c r="AI4" s="741"/>
      <c r="AJ4" s="741"/>
      <c r="AK4" s="741"/>
      <c r="AL4" s="741"/>
      <c r="AM4" s="741"/>
      <c r="AN4" s="741"/>
      <c r="AO4" s="741"/>
      <c r="AP4" s="741"/>
      <c r="AQ4" s="741"/>
      <c r="AR4" s="741"/>
      <c r="AS4" s="741"/>
      <c r="AT4" s="741"/>
      <c r="AU4" s="741"/>
      <c r="AV4" s="741"/>
      <c r="AW4" s="741"/>
      <c r="AX4" s="741"/>
      <c r="AY4" s="741"/>
      <c r="AZ4" s="741"/>
      <c r="BA4" s="741"/>
      <c r="BB4" s="741"/>
      <c r="BC4" s="741"/>
      <c r="BD4" s="741"/>
      <c r="BE4" s="741"/>
      <c r="BF4" s="741"/>
      <c r="BG4" s="741"/>
      <c r="BH4" s="741"/>
    </row>
    <row r="5" spans="1:60" s="739" customFormat="1" ht="14.25">
      <c r="A5" s="743"/>
      <c r="B5" s="744"/>
      <c r="C5" s="745"/>
      <c r="D5" s="746"/>
      <c r="E5" s="746"/>
      <c r="F5" s="746"/>
      <c r="G5" s="746"/>
      <c r="H5" s="746"/>
      <c r="I5" s="746"/>
      <c r="J5" s="746"/>
      <c r="K5" s="746"/>
      <c r="L5" s="746"/>
      <c r="M5" s="746"/>
      <c r="N5" s="746"/>
      <c r="O5" s="746"/>
      <c r="P5" s="746"/>
      <c r="Q5" s="746"/>
      <c r="R5" s="746"/>
      <c r="S5" s="746"/>
      <c r="T5" s="746"/>
      <c r="U5" s="746"/>
      <c r="W5" s="747"/>
      <c r="X5" s="741"/>
      <c r="Y5" s="741"/>
      <c r="Z5" s="741"/>
      <c r="AA5" s="741"/>
      <c r="AB5" s="741"/>
      <c r="AC5" s="741"/>
      <c r="AD5" s="741"/>
      <c r="AE5" s="741"/>
      <c r="AF5" s="741"/>
      <c r="AG5" s="741"/>
      <c r="AH5" s="741"/>
      <c r="AI5" s="741"/>
      <c r="AJ5" s="741"/>
      <c r="AK5" s="741"/>
      <c r="AL5" s="741"/>
      <c r="AM5" s="741"/>
      <c r="AN5" s="741"/>
      <c r="AO5" s="741"/>
      <c r="AP5" s="741"/>
      <c r="AQ5" s="741"/>
      <c r="AR5" s="741"/>
      <c r="AS5" s="741"/>
      <c r="AT5" s="741"/>
      <c r="AU5" s="741"/>
      <c r="AV5" s="741"/>
      <c r="AW5" s="741"/>
      <c r="AX5" s="741"/>
      <c r="AY5" s="741"/>
      <c r="AZ5" s="741"/>
      <c r="BA5" s="741"/>
      <c r="BB5" s="741"/>
      <c r="BC5" s="741"/>
      <c r="BD5" s="741"/>
      <c r="BE5" s="741"/>
      <c r="BF5" s="741"/>
      <c r="BG5" s="741"/>
      <c r="BH5" s="741"/>
    </row>
    <row r="6" spans="1:60" s="739" customFormat="1" ht="14.25">
      <c r="A6" s="743"/>
      <c r="B6" s="744"/>
      <c r="C6" s="745"/>
      <c r="D6" s="746"/>
      <c r="E6" s="748"/>
      <c r="F6" s="746"/>
      <c r="G6" s="746"/>
      <c r="H6" s="746"/>
      <c r="I6" s="746"/>
      <c r="J6" s="746"/>
      <c r="K6" s="746"/>
      <c r="L6" s="746"/>
      <c r="M6" s="746"/>
      <c r="N6" s="746"/>
      <c r="O6" s="746"/>
      <c r="P6" s="746"/>
      <c r="Q6" s="746"/>
      <c r="R6" s="746"/>
      <c r="S6" s="746"/>
      <c r="T6" s="746"/>
      <c r="U6" s="746"/>
      <c r="W6" s="749" t="s">
        <v>434</v>
      </c>
      <c r="X6" s="741"/>
      <c r="Y6" s="741"/>
      <c r="Z6" s="741"/>
      <c r="AA6" s="741"/>
      <c r="AB6" s="741"/>
      <c r="AC6" s="741"/>
      <c r="AD6" s="741"/>
      <c r="AE6" s="741"/>
      <c r="AF6" s="741"/>
      <c r="AG6" s="741"/>
      <c r="AH6" s="741"/>
      <c r="AI6" s="741"/>
      <c r="AJ6" s="741"/>
      <c r="AK6" s="741"/>
      <c r="AL6" s="741"/>
      <c r="AM6" s="741"/>
      <c r="AN6" s="741"/>
      <c r="AO6" s="741"/>
      <c r="AP6" s="741"/>
      <c r="AQ6" s="741"/>
      <c r="AR6" s="741"/>
      <c r="AS6" s="741"/>
      <c r="AT6" s="741"/>
      <c r="AU6" s="741"/>
      <c r="AV6" s="741"/>
      <c r="AW6" s="741"/>
      <c r="AX6" s="741"/>
      <c r="AY6" s="741"/>
      <c r="AZ6" s="741"/>
      <c r="BA6" s="741"/>
      <c r="BB6" s="741"/>
      <c r="BC6" s="741"/>
      <c r="BD6" s="741"/>
      <c r="BE6" s="741"/>
      <c r="BF6" s="741"/>
      <c r="BG6" s="741"/>
      <c r="BH6" s="741"/>
    </row>
    <row r="7" spans="1:60" s="746" customFormat="1">
      <c r="A7" s="743"/>
      <c r="B7" s="744"/>
      <c r="C7" s="745"/>
      <c r="W7" s="749" t="s">
        <v>629</v>
      </c>
    </row>
    <row r="8" spans="1:60" s="746" customFormat="1">
      <c r="A8" s="743"/>
      <c r="B8" s="744"/>
      <c r="C8" s="745"/>
      <c r="W8" s="749" t="s">
        <v>630</v>
      </c>
    </row>
    <row r="9" spans="1:60" s="746" customFormat="1">
      <c r="A9" s="743"/>
      <c r="B9" s="744"/>
      <c r="C9" s="745"/>
      <c r="E9" s="750"/>
      <c r="F9" s="751"/>
      <c r="G9" s="750"/>
      <c r="K9" s="750"/>
      <c r="T9" s="752"/>
      <c r="U9" s="752"/>
      <c r="W9" s="749" t="s">
        <v>618</v>
      </c>
    </row>
    <row r="10" spans="1:60" s="746" customFormat="1">
      <c r="A10" s="753"/>
      <c r="B10" s="744"/>
      <c r="C10" s="754"/>
      <c r="D10" s="755"/>
      <c r="E10" s="756"/>
      <c r="F10" s="756"/>
      <c r="G10" s="756"/>
      <c r="H10" s="756"/>
      <c r="I10" s="756"/>
      <c r="J10" s="756"/>
      <c r="K10" s="755"/>
      <c r="L10" s="756"/>
      <c r="M10" s="756"/>
      <c r="N10" s="756"/>
      <c r="O10" s="756"/>
      <c r="P10" s="756"/>
      <c r="Q10" s="756"/>
      <c r="R10" s="756"/>
      <c r="S10" s="756"/>
      <c r="T10" s="757"/>
      <c r="U10" s="757"/>
      <c r="W10" s="749" t="s">
        <v>656</v>
      </c>
    </row>
    <row r="11" spans="1:60" s="746" customFormat="1" ht="20.25">
      <c r="A11" s="743"/>
      <c r="B11" s="758"/>
      <c r="C11" s="745"/>
      <c r="D11" s="750"/>
      <c r="F11" s="750"/>
      <c r="G11" s="750"/>
      <c r="J11" s="293"/>
      <c r="K11" s="759"/>
      <c r="T11" s="747"/>
      <c r="U11" s="747"/>
      <c r="W11" s="749" t="s">
        <v>173</v>
      </c>
    </row>
    <row r="12" spans="1:60" s="756" customFormat="1" ht="20.25">
      <c r="A12" s="743"/>
      <c r="B12" s="744"/>
      <c r="C12" s="745"/>
      <c r="D12" s="750"/>
      <c r="E12" s="746"/>
      <c r="F12" s="750"/>
      <c r="G12" s="750"/>
      <c r="H12" s="746"/>
      <c r="I12" s="746"/>
      <c r="J12" s="293"/>
      <c r="K12" s="759"/>
      <c r="L12" s="746"/>
      <c r="M12" s="746"/>
      <c r="N12" s="746"/>
      <c r="O12" s="746"/>
      <c r="P12" s="746"/>
      <c r="Q12" s="746"/>
      <c r="R12" s="746"/>
      <c r="S12" s="746"/>
      <c r="T12" s="747"/>
      <c r="U12" s="747"/>
      <c r="V12" s="760"/>
      <c r="W12" s="761"/>
    </row>
    <row r="13" spans="1:60" s="746" customFormat="1" ht="14.25">
      <c r="A13" s="901" t="s">
        <v>631</v>
      </c>
      <c r="B13" s="901"/>
      <c r="C13" s="901"/>
      <c r="D13" s="901"/>
      <c r="E13" s="901"/>
      <c r="F13" s="901"/>
      <c r="G13" s="901"/>
      <c r="H13" s="901"/>
      <c r="I13" s="901"/>
      <c r="J13" s="901"/>
      <c r="K13" s="901"/>
      <c r="L13" s="901"/>
      <c r="M13" s="901"/>
      <c r="N13" s="901"/>
      <c r="O13" s="901"/>
      <c r="P13" s="901"/>
      <c r="Q13" s="901"/>
      <c r="R13" s="901"/>
      <c r="S13" s="901"/>
      <c r="T13" s="901"/>
      <c r="U13" s="901"/>
      <c r="V13" s="901"/>
      <c r="W13" s="901"/>
    </row>
    <row r="14" spans="1:60" s="746" customFormat="1" ht="14.25">
      <c r="A14" s="901" t="s">
        <v>632</v>
      </c>
      <c r="B14" s="901"/>
      <c r="C14" s="901"/>
      <c r="D14" s="901"/>
      <c r="E14" s="901"/>
      <c r="F14" s="901"/>
      <c r="G14" s="901"/>
      <c r="H14" s="901"/>
      <c r="I14" s="901"/>
      <c r="J14" s="901"/>
      <c r="K14" s="901"/>
      <c r="L14" s="901"/>
      <c r="M14" s="901"/>
      <c r="N14" s="901"/>
      <c r="O14" s="901"/>
      <c r="P14" s="901"/>
      <c r="Q14" s="901"/>
      <c r="R14" s="901"/>
      <c r="S14" s="901"/>
      <c r="T14" s="901"/>
      <c r="U14" s="901"/>
      <c r="V14" s="901"/>
      <c r="W14" s="901"/>
    </row>
    <row r="15" spans="1:60" s="746" customFormat="1" ht="12">
      <c r="A15" s="743"/>
      <c r="B15" s="744"/>
      <c r="C15" s="745"/>
      <c r="W15" s="762"/>
    </row>
    <row r="16" spans="1:60" s="746" customFormat="1" ht="12">
      <c r="A16" s="743"/>
      <c r="B16" s="744"/>
      <c r="C16" s="745"/>
      <c r="W16" s="762"/>
    </row>
    <row r="17" spans="1:23" s="746" customFormat="1" ht="12" customHeight="1">
      <c r="A17" s="902" t="s">
        <v>266</v>
      </c>
      <c r="B17" s="902" t="s">
        <v>438</v>
      </c>
      <c r="C17" s="905" t="s">
        <v>633</v>
      </c>
      <c r="D17" s="906" t="s">
        <v>634</v>
      </c>
      <c r="E17" s="906"/>
      <c r="F17" s="906"/>
      <c r="G17" s="906"/>
      <c r="H17" s="906"/>
      <c r="I17" s="906"/>
      <c r="J17" s="906"/>
      <c r="K17" s="906"/>
      <c r="L17" s="906"/>
      <c r="M17" s="906"/>
      <c r="N17" s="907" t="s">
        <v>635</v>
      </c>
      <c r="O17" s="907" t="s">
        <v>636</v>
      </c>
      <c r="P17" s="907"/>
      <c r="Q17" s="907"/>
      <c r="R17" s="907"/>
      <c r="S17" s="907" t="s">
        <v>356</v>
      </c>
      <c r="T17" s="907"/>
      <c r="U17" s="907"/>
      <c r="V17" s="907"/>
      <c r="W17" s="907" t="s">
        <v>637</v>
      </c>
    </row>
    <row r="18" spans="1:23" s="746" customFormat="1" ht="12" customHeight="1">
      <c r="A18" s="903"/>
      <c r="B18" s="903"/>
      <c r="C18" s="905"/>
      <c r="D18" s="906"/>
      <c r="E18" s="906"/>
      <c r="F18" s="906"/>
      <c r="G18" s="906"/>
      <c r="H18" s="906"/>
      <c r="I18" s="906"/>
      <c r="J18" s="906"/>
      <c r="K18" s="906"/>
      <c r="L18" s="906"/>
      <c r="M18" s="906"/>
      <c r="N18" s="907"/>
      <c r="O18" s="907"/>
      <c r="P18" s="907"/>
      <c r="Q18" s="907"/>
      <c r="R18" s="907"/>
      <c r="S18" s="907"/>
      <c r="T18" s="907"/>
      <c r="U18" s="907"/>
      <c r="V18" s="907"/>
      <c r="W18" s="907"/>
    </row>
    <row r="19" spans="1:23" s="763" customFormat="1" ht="11.25" customHeight="1">
      <c r="A19" s="903"/>
      <c r="B19" s="903"/>
      <c r="C19" s="905"/>
      <c r="D19" s="906" t="s">
        <v>268</v>
      </c>
      <c r="E19" s="906"/>
      <c r="F19" s="906" t="s">
        <v>638</v>
      </c>
      <c r="G19" s="906"/>
      <c r="H19" s="906" t="s">
        <v>639</v>
      </c>
      <c r="I19" s="906"/>
      <c r="J19" s="906" t="s">
        <v>640</v>
      </c>
      <c r="K19" s="906"/>
      <c r="L19" s="906" t="s">
        <v>641</v>
      </c>
      <c r="M19" s="906"/>
      <c r="N19" s="907"/>
      <c r="O19" s="907" t="s">
        <v>104</v>
      </c>
      <c r="P19" s="907" t="s">
        <v>158</v>
      </c>
      <c r="Q19" s="907" t="s">
        <v>156</v>
      </c>
      <c r="R19" s="907"/>
      <c r="S19" s="907" t="s">
        <v>642</v>
      </c>
      <c r="T19" s="907"/>
      <c r="U19" s="907"/>
      <c r="V19" s="907"/>
      <c r="W19" s="907"/>
    </row>
    <row r="20" spans="1:23" s="763" customFormat="1" ht="11.25">
      <c r="A20" s="903"/>
      <c r="B20" s="903"/>
      <c r="C20" s="905"/>
      <c r="D20" s="764"/>
      <c r="E20" s="764"/>
      <c r="F20" s="764"/>
      <c r="G20" s="764"/>
      <c r="H20" s="764"/>
      <c r="I20" s="764"/>
      <c r="J20" s="764"/>
      <c r="K20" s="764"/>
      <c r="L20" s="764"/>
      <c r="M20" s="764"/>
      <c r="N20" s="907"/>
      <c r="O20" s="907"/>
      <c r="P20" s="907"/>
      <c r="Q20" s="765"/>
      <c r="R20" s="765"/>
      <c r="S20" s="907" t="s">
        <v>313</v>
      </c>
      <c r="T20" s="907"/>
      <c r="U20" s="907" t="s">
        <v>358</v>
      </c>
      <c r="V20" s="907"/>
      <c r="W20" s="907"/>
    </row>
    <row r="21" spans="1:23" s="763" customFormat="1" ht="11.25" customHeight="1">
      <c r="A21" s="903"/>
      <c r="B21" s="903"/>
      <c r="C21" s="905"/>
      <c r="D21" s="908" t="s">
        <v>313</v>
      </c>
      <c r="E21" s="911" t="s">
        <v>643</v>
      </c>
      <c r="F21" s="906" t="s">
        <v>273</v>
      </c>
      <c r="G21" s="911" t="s">
        <v>358</v>
      </c>
      <c r="H21" s="906" t="s">
        <v>273</v>
      </c>
      <c r="I21" s="911" t="s">
        <v>358</v>
      </c>
      <c r="J21" s="906" t="s">
        <v>273</v>
      </c>
      <c r="K21" s="911" t="s">
        <v>358</v>
      </c>
      <c r="L21" s="906" t="s">
        <v>273</v>
      </c>
      <c r="M21" s="911" t="s">
        <v>358</v>
      </c>
      <c r="N21" s="907"/>
      <c r="O21" s="907"/>
      <c r="P21" s="907"/>
      <c r="Q21" s="907" t="s">
        <v>155</v>
      </c>
      <c r="R21" s="907" t="s">
        <v>644</v>
      </c>
      <c r="S21" s="907" t="s">
        <v>2</v>
      </c>
      <c r="T21" s="907" t="s">
        <v>413</v>
      </c>
      <c r="U21" s="907" t="s">
        <v>2</v>
      </c>
      <c r="V21" s="907" t="s">
        <v>413</v>
      </c>
      <c r="W21" s="907"/>
    </row>
    <row r="22" spans="1:23" s="763" customFormat="1" ht="11.25">
      <c r="A22" s="903"/>
      <c r="B22" s="903"/>
      <c r="C22" s="905"/>
      <c r="D22" s="909"/>
      <c r="E22" s="911"/>
      <c r="F22" s="906"/>
      <c r="G22" s="911"/>
      <c r="H22" s="906"/>
      <c r="I22" s="911"/>
      <c r="J22" s="906"/>
      <c r="K22" s="911"/>
      <c r="L22" s="906"/>
      <c r="M22" s="911"/>
      <c r="N22" s="907"/>
      <c r="O22" s="907"/>
      <c r="P22" s="907"/>
      <c r="Q22" s="907"/>
      <c r="R22" s="907"/>
      <c r="S22" s="907"/>
      <c r="T22" s="907"/>
      <c r="U22" s="907"/>
      <c r="V22" s="907"/>
      <c r="W22" s="907"/>
    </row>
    <row r="23" spans="1:23" s="763" customFormat="1" ht="11.25">
      <c r="A23" s="903"/>
      <c r="B23" s="903"/>
      <c r="C23" s="905"/>
      <c r="D23" s="909"/>
      <c r="E23" s="911"/>
      <c r="F23" s="906"/>
      <c r="G23" s="911"/>
      <c r="H23" s="906"/>
      <c r="I23" s="911"/>
      <c r="J23" s="906"/>
      <c r="K23" s="911"/>
      <c r="L23" s="906"/>
      <c r="M23" s="911"/>
      <c r="N23" s="907"/>
      <c r="O23" s="907"/>
      <c r="P23" s="907"/>
      <c r="Q23" s="907"/>
      <c r="R23" s="907"/>
      <c r="S23" s="907"/>
      <c r="T23" s="907"/>
      <c r="U23" s="907"/>
      <c r="V23" s="907"/>
      <c r="W23" s="907"/>
    </row>
    <row r="24" spans="1:23" s="763" customFormat="1" ht="11.25">
      <c r="A24" s="903"/>
      <c r="B24" s="903"/>
      <c r="C24" s="905"/>
      <c r="D24" s="909"/>
      <c r="E24" s="911"/>
      <c r="F24" s="906"/>
      <c r="G24" s="911"/>
      <c r="H24" s="906"/>
      <c r="I24" s="911"/>
      <c r="J24" s="906"/>
      <c r="K24" s="911"/>
      <c r="L24" s="906"/>
      <c r="M24" s="911"/>
      <c r="N24" s="907"/>
      <c r="O24" s="907"/>
      <c r="P24" s="907"/>
      <c r="Q24" s="907"/>
      <c r="R24" s="907"/>
      <c r="S24" s="907"/>
      <c r="T24" s="907"/>
      <c r="U24" s="907"/>
      <c r="V24" s="907"/>
      <c r="W24" s="907"/>
    </row>
    <row r="25" spans="1:23" s="763" customFormat="1" ht="20.25" customHeight="1">
      <c r="A25" s="904"/>
      <c r="B25" s="904"/>
      <c r="C25" s="905"/>
      <c r="D25" s="910"/>
      <c r="E25" s="911"/>
      <c r="F25" s="906"/>
      <c r="G25" s="911"/>
      <c r="H25" s="906"/>
      <c r="I25" s="911"/>
      <c r="J25" s="906"/>
      <c r="K25" s="911"/>
      <c r="L25" s="906"/>
      <c r="M25" s="911"/>
      <c r="N25" s="907"/>
      <c r="O25" s="907"/>
      <c r="P25" s="907"/>
      <c r="Q25" s="907"/>
      <c r="R25" s="907"/>
      <c r="S25" s="907"/>
      <c r="T25" s="907"/>
      <c r="U25" s="907"/>
      <c r="V25" s="907"/>
      <c r="W25" s="907"/>
    </row>
    <row r="26" spans="1:23" s="763" customFormat="1" ht="11.25">
      <c r="A26" s="766">
        <v>1</v>
      </c>
      <c r="B26" s="767">
        <v>2</v>
      </c>
      <c r="C26" s="768">
        <v>3</v>
      </c>
      <c r="D26" s="768">
        <v>4</v>
      </c>
      <c r="E26" s="768">
        <v>5</v>
      </c>
      <c r="F26" s="768">
        <v>6</v>
      </c>
      <c r="G26" s="768">
        <v>7</v>
      </c>
      <c r="H26" s="768">
        <v>8</v>
      </c>
      <c r="I26" s="768">
        <v>9</v>
      </c>
      <c r="J26" s="768">
        <v>10</v>
      </c>
      <c r="K26" s="768">
        <v>11</v>
      </c>
      <c r="L26" s="768">
        <v>12</v>
      </c>
      <c r="M26" s="768">
        <v>13</v>
      </c>
      <c r="N26" s="768">
        <v>14</v>
      </c>
      <c r="O26" s="768">
        <v>15</v>
      </c>
      <c r="P26" s="768">
        <v>16</v>
      </c>
      <c r="Q26" s="768">
        <v>17</v>
      </c>
      <c r="R26" s="768">
        <v>18</v>
      </c>
      <c r="S26" s="769">
        <v>19</v>
      </c>
      <c r="T26" s="769">
        <v>20</v>
      </c>
      <c r="U26" s="769">
        <v>21</v>
      </c>
      <c r="V26" s="769">
        <v>22</v>
      </c>
      <c r="W26" s="770">
        <v>23</v>
      </c>
    </row>
    <row r="27" spans="1:23" s="763" customFormat="1" ht="11.25">
      <c r="A27" s="771"/>
      <c r="B27" s="772" t="s">
        <v>236</v>
      </c>
      <c r="C27" s="806">
        <f>C28</f>
        <v>162.72834926499999</v>
      </c>
      <c r="D27" s="808">
        <f>D28</f>
        <v>48.283886629999998</v>
      </c>
      <c r="E27" s="808">
        <f t="shared" ref="E27:M28" si="0">E28</f>
        <v>44.750319999999995</v>
      </c>
      <c r="F27" s="808">
        <f t="shared" si="0"/>
        <v>0</v>
      </c>
      <c r="G27" s="808">
        <f t="shared" si="0"/>
        <v>0</v>
      </c>
      <c r="H27" s="808">
        <f t="shared" si="0"/>
        <v>0</v>
      </c>
      <c r="I27" s="808">
        <f t="shared" si="0"/>
        <v>0</v>
      </c>
      <c r="J27" s="808">
        <f t="shared" si="0"/>
        <v>1.1044800000000001</v>
      </c>
      <c r="K27" s="808">
        <f t="shared" si="0"/>
        <v>0</v>
      </c>
      <c r="L27" s="808">
        <f t="shared" si="0"/>
        <v>47.179406630000003</v>
      </c>
      <c r="M27" s="808">
        <f t="shared" si="0"/>
        <v>44.750319999999995</v>
      </c>
      <c r="N27" s="808">
        <f>N28</f>
        <v>117.97802926500002</v>
      </c>
      <c r="O27" s="808">
        <f>E27-D27</f>
        <v>-3.5335666300000028</v>
      </c>
      <c r="P27" s="809">
        <f>IF(D27=0,0,(O27/D27)*100)</f>
        <v>-7.3183144038875048</v>
      </c>
      <c r="Q27" s="808">
        <f t="shared" ref="Q27:V28" si="1">Q28</f>
        <v>-3.5335666300000037</v>
      </c>
      <c r="R27" s="808">
        <f t="shared" si="1"/>
        <v>0</v>
      </c>
      <c r="S27" s="804">
        <f t="shared" si="1"/>
        <v>13.353999999999999</v>
      </c>
      <c r="T27" s="804">
        <f t="shared" si="1"/>
        <v>40</v>
      </c>
      <c r="U27" s="804">
        <f t="shared" si="1"/>
        <v>13.353999999999999</v>
      </c>
      <c r="V27" s="804">
        <f t="shared" si="1"/>
        <v>40</v>
      </c>
      <c r="W27" s="774"/>
    </row>
    <row r="28" spans="1:23" s="778" customFormat="1" ht="21">
      <c r="A28" s="775">
        <v>1</v>
      </c>
      <c r="B28" s="776" t="s">
        <v>163</v>
      </c>
      <c r="C28" s="807">
        <f>C29</f>
        <v>162.72834926499999</v>
      </c>
      <c r="D28" s="779">
        <f>D29</f>
        <v>48.283886629999998</v>
      </c>
      <c r="E28" s="779">
        <f t="shared" si="0"/>
        <v>44.750319999999995</v>
      </c>
      <c r="F28" s="779">
        <f t="shared" si="0"/>
        <v>0</v>
      </c>
      <c r="G28" s="779">
        <f t="shared" si="0"/>
        <v>0</v>
      </c>
      <c r="H28" s="779">
        <f t="shared" si="0"/>
        <v>0</v>
      </c>
      <c r="I28" s="779">
        <f t="shared" si="0"/>
        <v>0</v>
      </c>
      <c r="J28" s="779">
        <f t="shared" si="0"/>
        <v>1.1044800000000001</v>
      </c>
      <c r="K28" s="779">
        <f t="shared" si="0"/>
        <v>0</v>
      </c>
      <c r="L28" s="779">
        <f t="shared" si="0"/>
        <v>47.179406630000003</v>
      </c>
      <c r="M28" s="779">
        <f t="shared" si="0"/>
        <v>44.750319999999995</v>
      </c>
      <c r="N28" s="779">
        <f>N29</f>
        <v>117.97802926500002</v>
      </c>
      <c r="O28" s="779">
        <f>E28-D28</f>
        <v>-3.5335666300000028</v>
      </c>
      <c r="P28" s="810">
        <f t="shared" ref="P28:P29" si="2">IF(D28=0,0,(O28/D28)*100)</f>
        <v>-7.3183144038875048</v>
      </c>
      <c r="Q28" s="779">
        <f t="shared" si="1"/>
        <v>-3.5335666300000037</v>
      </c>
      <c r="R28" s="779">
        <f t="shared" si="1"/>
        <v>0</v>
      </c>
      <c r="S28" s="805">
        <f t="shared" si="1"/>
        <v>13.353999999999999</v>
      </c>
      <c r="T28" s="805">
        <f t="shared" si="1"/>
        <v>40</v>
      </c>
      <c r="U28" s="805">
        <f t="shared" si="1"/>
        <v>13.353999999999999</v>
      </c>
      <c r="V28" s="805">
        <f t="shared" si="1"/>
        <v>40</v>
      </c>
      <c r="W28" s="777"/>
    </row>
    <row r="29" spans="1:23" s="738" customFormat="1" ht="21">
      <c r="A29" s="775" t="s">
        <v>253</v>
      </c>
      <c r="B29" s="776" t="s">
        <v>160</v>
      </c>
      <c r="C29" s="807">
        <f t="shared" ref="C29" si="3">SUM(C30:C40)</f>
        <v>162.72834926499999</v>
      </c>
      <c r="D29" s="779">
        <f t="shared" ref="D29:N29" si="4">SUM(D30:D40)</f>
        <v>48.283886629999998</v>
      </c>
      <c r="E29" s="779">
        <f t="shared" si="4"/>
        <v>44.750319999999995</v>
      </c>
      <c r="F29" s="779">
        <f t="shared" si="4"/>
        <v>0</v>
      </c>
      <c r="G29" s="779">
        <f t="shared" si="4"/>
        <v>0</v>
      </c>
      <c r="H29" s="779">
        <f t="shared" si="4"/>
        <v>0</v>
      </c>
      <c r="I29" s="779">
        <f t="shared" si="4"/>
        <v>0</v>
      </c>
      <c r="J29" s="779">
        <f t="shared" si="4"/>
        <v>1.1044800000000001</v>
      </c>
      <c r="K29" s="779">
        <f t="shared" si="4"/>
        <v>0</v>
      </c>
      <c r="L29" s="779">
        <f t="shared" si="4"/>
        <v>47.179406630000003</v>
      </c>
      <c r="M29" s="779">
        <f t="shared" si="4"/>
        <v>44.750319999999995</v>
      </c>
      <c r="N29" s="779">
        <f t="shared" si="4"/>
        <v>117.97802926500002</v>
      </c>
      <c r="O29" s="779">
        <f>E29-D29</f>
        <v>-3.5335666300000028</v>
      </c>
      <c r="P29" s="810">
        <f t="shared" si="2"/>
        <v>-7.3183144038875048</v>
      </c>
      <c r="Q29" s="779">
        <f t="shared" ref="Q29:V29" si="5">SUM(Q30:Q40)</f>
        <v>-3.5335666300000037</v>
      </c>
      <c r="R29" s="779">
        <f t="shared" si="5"/>
        <v>0</v>
      </c>
      <c r="S29" s="805">
        <f t="shared" si="5"/>
        <v>13.353999999999999</v>
      </c>
      <c r="T29" s="805">
        <f t="shared" si="5"/>
        <v>40</v>
      </c>
      <c r="U29" s="805">
        <f t="shared" si="5"/>
        <v>13.353999999999999</v>
      </c>
      <c r="V29" s="805">
        <f t="shared" si="5"/>
        <v>40</v>
      </c>
      <c r="W29" s="777"/>
    </row>
    <row r="30" spans="1:23" s="738" customFormat="1" ht="18" customHeight="1">
      <c r="A30" s="780" t="s">
        <v>277</v>
      </c>
      <c r="B30" s="781" t="s">
        <v>593</v>
      </c>
      <c r="C30" s="773"/>
      <c r="D30" s="782">
        <f>F30+H30+J30+L30</f>
        <v>0</v>
      </c>
      <c r="E30" s="782">
        <f t="shared" ref="E30:E40" si="6">G30+I30+K30+M30</f>
        <v>0</v>
      </c>
      <c r="F30" s="783"/>
      <c r="G30" s="783"/>
      <c r="H30" s="784"/>
      <c r="I30" s="783"/>
      <c r="J30" s="783"/>
      <c r="K30" s="783"/>
      <c r="L30" s="783"/>
      <c r="M30" s="783"/>
      <c r="N30" s="782">
        <f>C30-E30</f>
        <v>0</v>
      </c>
      <c r="O30" s="782">
        <f>E30-D30</f>
        <v>0</v>
      </c>
      <c r="P30" s="785">
        <f>IF(D30=0,0,(O30/D30)*100)</f>
        <v>0</v>
      </c>
      <c r="Q30" s="782">
        <f>O30</f>
        <v>0</v>
      </c>
      <c r="R30" s="782">
        <v>0</v>
      </c>
      <c r="S30" s="786"/>
      <c r="T30" s="786"/>
      <c r="U30" s="786"/>
      <c r="V30" s="786"/>
      <c r="W30" s="787"/>
    </row>
    <row r="31" spans="1:23" s="738" customFormat="1" ht="33.75">
      <c r="A31" s="788" t="s">
        <v>484</v>
      </c>
      <c r="B31" s="789" t="s">
        <v>530</v>
      </c>
      <c r="C31" s="813">
        <f>'приложение 1.1 '!I23</f>
        <v>71.233917999999989</v>
      </c>
      <c r="D31" s="813">
        <f t="shared" ref="D31:D40" si="7">F31+H31+J31+L31</f>
        <v>17.7</v>
      </c>
      <c r="E31" s="813">
        <f t="shared" si="6"/>
        <v>44.750319999999995</v>
      </c>
      <c r="F31" s="811"/>
      <c r="G31" s="811"/>
      <c r="H31" s="812"/>
      <c r="I31" s="811"/>
      <c r="J31" s="811"/>
      <c r="K31" s="811"/>
      <c r="L31" s="811">
        <v>17.7</v>
      </c>
      <c r="M31" s="811">
        <v>44.750319999999995</v>
      </c>
      <c r="N31" s="813">
        <f t="shared" ref="N31:N40" si="8">C31-E31</f>
        <v>26.483597999999994</v>
      </c>
      <c r="O31" s="813">
        <f t="shared" ref="O31:O40" si="9">E31-D31</f>
        <v>27.050319999999996</v>
      </c>
      <c r="P31" s="813">
        <f t="shared" ref="P31:P40" si="10">IF(D31=0,0,(O31/D31)*100)</f>
        <v>152.82666666666665</v>
      </c>
      <c r="Q31" s="813">
        <f t="shared" ref="Q31:Q40" si="11">O31</f>
        <v>27.050319999999996</v>
      </c>
      <c r="R31" s="813">
        <v>0</v>
      </c>
      <c r="S31" s="813">
        <v>0</v>
      </c>
      <c r="T31" s="813">
        <v>20</v>
      </c>
      <c r="U31" s="813">
        <v>0</v>
      </c>
      <c r="V31" s="813">
        <v>20</v>
      </c>
      <c r="W31" s="787"/>
    </row>
    <row r="32" spans="1:23" s="743" customFormat="1" ht="45">
      <c r="A32" s="788" t="s">
        <v>527</v>
      </c>
      <c r="B32" s="789" t="s">
        <v>529</v>
      </c>
      <c r="C32" s="813">
        <f>'приложение 1.1 '!I24</f>
        <v>76.977455305000007</v>
      </c>
      <c r="D32" s="813">
        <f t="shared" si="7"/>
        <v>29.47940663</v>
      </c>
      <c r="E32" s="813">
        <f t="shared" si="6"/>
        <v>0</v>
      </c>
      <c r="F32" s="811"/>
      <c r="G32" s="811"/>
      <c r="H32" s="811"/>
      <c r="I32" s="811"/>
      <c r="J32" s="811"/>
      <c r="K32" s="811"/>
      <c r="L32" s="811">
        <v>29.47940663</v>
      </c>
      <c r="M32" s="811"/>
      <c r="N32" s="813">
        <f t="shared" si="8"/>
        <v>76.977455305000007</v>
      </c>
      <c r="O32" s="813">
        <f t="shared" si="9"/>
        <v>-29.47940663</v>
      </c>
      <c r="P32" s="813">
        <f t="shared" si="10"/>
        <v>-100</v>
      </c>
      <c r="Q32" s="813">
        <f t="shared" si="11"/>
        <v>-29.47940663</v>
      </c>
      <c r="R32" s="813">
        <v>0</v>
      </c>
      <c r="S32" s="813">
        <v>0</v>
      </c>
      <c r="T32" s="813">
        <v>20</v>
      </c>
      <c r="U32" s="813">
        <v>0</v>
      </c>
      <c r="V32" s="813">
        <v>20</v>
      </c>
      <c r="W32" s="787"/>
    </row>
    <row r="33" spans="1:23" s="743" customFormat="1" ht="11.25">
      <c r="A33" s="780" t="s">
        <v>80</v>
      </c>
      <c r="B33" s="790" t="s">
        <v>550</v>
      </c>
      <c r="C33" s="813">
        <v>0</v>
      </c>
      <c r="D33" s="813">
        <f t="shared" si="7"/>
        <v>0</v>
      </c>
      <c r="E33" s="813">
        <f t="shared" si="6"/>
        <v>0</v>
      </c>
      <c r="F33" s="811"/>
      <c r="G33" s="811"/>
      <c r="H33" s="811"/>
      <c r="I33" s="811"/>
      <c r="J33" s="812"/>
      <c r="K33" s="811"/>
      <c r="L33" s="811"/>
      <c r="M33" s="811"/>
      <c r="N33" s="813">
        <f t="shared" si="8"/>
        <v>0</v>
      </c>
      <c r="O33" s="813">
        <f t="shared" si="9"/>
        <v>0</v>
      </c>
      <c r="P33" s="813">
        <f t="shared" si="10"/>
        <v>0</v>
      </c>
      <c r="Q33" s="813">
        <f t="shared" si="11"/>
        <v>0</v>
      </c>
      <c r="R33" s="813">
        <v>0</v>
      </c>
      <c r="S33" s="813"/>
      <c r="T33" s="813"/>
      <c r="U33" s="813"/>
      <c r="V33" s="813"/>
      <c r="W33" s="787"/>
    </row>
    <row r="34" spans="1:23" s="743" customFormat="1" ht="22.5">
      <c r="A34" s="788" t="s">
        <v>549</v>
      </c>
      <c r="B34" s="791" t="s">
        <v>554</v>
      </c>
      <c r="C34" s="813">
        <f>'приложение 1.1 '!I26</f>
        <v>6.6369359599999997</v>
      </c>
      <c r="D34" s="813">
        <f t="shared" si="7"/>
        <v>0</v>
      </c>
      <c r="E34" s="813">
        <f t="shared" si="6"/>
        <v>0</v>
      </c>
      <c r="F34" s="811"/>
      <c r="G34" s="811"/>
      <c r="H34" s="811"/>
      <c r="I34" s="811"/>
      <c r="J34" s="811"/>
      <c r="K34" s="811"/>
      <c r="L34" s="811"/>
      <c r="M34" s="811"/>
      <c r="N34" s="813">
        <f t="shared" si="8"/>
        <v>6.6369359599999997</v>
      </c>
      <c r="O34" s="813">
        <f t="shared" si="9"/>
        <v>0</v>
      </c>
      <c r="P34" s="813">
        <f t="shared" si="10"/>
        <v>0</v>
      </c>
      <c r="Q34" s="813">
        <f t="shared" si="11"/>
        <v>0</v>
      </c>
      <c r="R34" s="813">
        <v>0</v>
      </c>
      <c r="S34" s="813">
        <v>13.353999999999999</v>
      </c>
      <c r="T34" s="813">
        <v>0</v>
      </c>
      <c r="U34" s="813">
        <v>13.353999999999999</v>
      </c>
      <c r="V34" s="813">
        <v>0</v>
      </c>
      <c r="W34" s="787"/>
    </row>
    <row r="35" spans="1:23" s="743" customFormat="1" ht="21">
      <c r="A35" s="780" t="s">
        <v>254</v>
      </c>
      <c r="B35" s="790" t="s">
        <v>219</v>
      </c>
      <c r="C35" s="806">
        <v>0</v>
      </c>
      <c r="D35" s="813">
        <f t="shared" si="7"/>
        <v>0</v>
      </c>
      <c r="E35" s="813">
        <f t="shared" si="6"/>
        <v>0</v>
      </c>
      <c r="F35" s="811"/>
      <c r="G35" s="811"/>
      <c r="H35" s="811"/>
      <c r="I35" s="811"/>
      <c r="J35" s="812"/>
      <c r="K35" s="811"/>
      <c r="L35" s="811"/>
      <c r="M35" s="811"/>
      <c r="N35" s="813">
        <f t="shared" si="8"/>
        <v>0</v>
      </c>
      <c r="O35" s="813">
        <f t="shared" si="9"/>
        <v>0</v>
      </c>
      <c r="P35" s="813">
        <f t="shared" si="10"/>
        <v>0</v>
      </c>
      <c r="Q35" s="813">
        <f t="shared" si="11"/>
        <v>0</v>
      </c>
      <c r="R35" s="813">
        <v>0</v>
      </c>
      <c r="S35" s="813">
        <v>0</v>
      </c>
      <c r="T35" s="813">
        <v>0</v>
      </c>
      <c r="U35" s="813">
        <v>0</v>
      </c>
      <c r="V35" s="813">
        <v>0</v>
      </c>
      <c r="W35" s="787"/>
    </row>
    <row r="36" spans="1:23" s="743" customFormat="1" ht="22.5">
      <c r="A36" s="788" t="s">
        <v>185</v>
      </c>
      <c r="B36" s="791" t="s">
        <v>555</v>
      </c>
      <c r="C36" s="813">
        <f>'приложение 1.1 '!I29</f>
        <v>3.1824600000000003</v>
      </c>
      <c r="D36" s="813">
        <f t="shared" si="7"/>
        <v>0.17346</v>
      </c>
      <c r="E36" s="813">
        <f t="shared" si="6"/>
        <v>0</v>
      </c>
      <c r="F36" s="811"/>
      <c r="G36" s="811"/>
      <c r="H36" s="811"/>
      <c r="I36" s="811"/>
      <c r="J36" s="811">
        <v>0.17346</v>
      </c>
      <c r="K36" s="811"/>
      <c r="L36" s="811"/>
      <c r="M36" s="811"/>
      <c r="N36" s="813">
        <f t="shared" si="8"/>
        <v>3.1824600000000003</v>
      </c>
      <c r="O36" s="813">
        <f t="shared" si="9"/>
        <v>-0.17346</v>
      </c>
      <c r="P36" s="813">
        <f t="shared" si="10"/>
        <v>-100</v>
      </c>
      <c r="Q36" s="813">
        <f t="shared" si="11"/>
        <v>-0.17346</v>
      </c>
      <c r="R36" s="813">
        <v>0</v>
      </c>
      <c r="S36" s="813">
        <v>0</v>
      </c>
      <c r="T36" s="813">
        <v>0</v>
      </c>
      <c r="U36" s="813">
        <v>0</v>
      </c>
      <c r="V36" s="813">
        <v>0</v>
      </c>
      <c r="W36" s="787"/>
    </row>
    <row r="37" spans="1:23" s="743" customFormat="1" ht="22.5">
      <c r="A37" s="788" t="s">
        <v>186</v>
      </c>
      <c r="B37" s="791" t="s">
        <v>591</v>
      </c>
      <c r="C37" s="813">
        <f>'приложение 1.1 '!I30</f>
        <v>3.1824600000000003</v>
      </c>
      <c r="D37" s="813">
        <f t="shared" si="7"/>
        <v>0.17346</v>
      </c>
      <c r="E37" s="813">
        <f t="shared" si="6"/>
        <v>0</v>
      </c>
      <c r="F37" s="811"/>
      <c r="G37" s="811"/>
      <c r="H37" s="811"/>
      <c r="I37" s="811"/>
      <c r="J37" s="811">
        <v>0.17346</v>
      </c>
      <c r="K37" s="811"/>
      <c r="L37" s="811"/>
      <c r="M37" s="811"/>
      <c r="N37" s="813">
        <f t="shared" si="8"/>
        <v>3.1824600000000003</v>
      </c>
      <c r="O37" s="813">
        <f t="shared" si="9"/>
        <v>-0.17346</v>
      </c>
      <c r="P37" s="813">
        <f t="shared" si="10"/>
        <v>-100</v>
      </c>
      <c r="Q37" s="813">
        <f t="shared" si="11"/>
        <v>-0.17346</v>
      </c>
      <c r="R37" s="813">
        <v>0</v>
      </c>
      <c r="S37" s="813">
        <v>0</v>
      </c>
      <c r="T37" s="813">
        <v>0</v>
      </c>
      <c r="U37" s="813">
        <v>0</v>
      </c>
      <c r="V37" s="813">
        <v>0</v>
      </c>
      <c r="W37" s="787"/>
    </row>
    <row r="38" spans="1:23" s="792" customFormat="1" ht="21">
      <c r="A38" s="780" t="s">
        <v>265</v>
      </c>
      <c r="B38" s="790" t="s">
        <v>557</v>
      </c>
      <c r="C38" s="806">
        <v>0</v>
      </c>
      <c r="D38" s="813">
        <f t="shared" si="7"/>
        <v>0</v>
      </c>
      <c r="E38" s="813">
        <f t="shared" si="6"/>
        <v>0</v>
      </c>
      <c r="F38" s="811"/>
      <c r="G38" s="811"/>
      <c r="H38" s="812"/>
      <c r="I38" s="811"/>
      <c r="J38" s="813"/>
      <c r="K38" s="811"/>
      <c r="L38" s="811"/>
      <c r="M38" s="811"/>
      <c r="N38" s="813">
        <f t="shared" si="8"/>
        <v>0</v>
      </c>
      <c r="O38" s="813">
        <f t="shared" si="9"/>
        <v>0</v>
      </c>
      <c r="P38" s="813">
        <f t="shared" si="10"/>
        <v>0</v>
      </c>
      <c r="Q38" s="813">
        <f t="shared" si="11"/>
        <v>0</v>
      </c>
      <c r="R38" s="813">
        <v>0</v>
      </c>
      <c r="S38" s="813">
        <v>0</v>
      </c>
      <c r="T38" s="813">
        <v>0</v>
      </c>
      <c r="U38" s="813">
        <v>0</v>
      </c>
      <c r="V38" s="813">
        <v>0</v>
      </c>
      <c r="W38" s="787"/>
    </row>
    <row r="39" spans="1:23" s="743" customFormat="1" ht="22.5">
      <c r="A39" s="788" t="s">
        <v>485</v>
      </c>
      <c r="B39" s="791" t="s">
        <v>559</v>
      </c>
      <c r="C39" s="813">
        <f>'приложение 1.1 '!I33</f>
        <v>0.7575599999999999</v>
      </c>
      <c r="D39" s="813">
        <f t="shared" si="7"/>
        <v>0.75756000000000001</v>
      </c>
      <c r="E39" s="813">
        <f t="shared" si="6"/>
        <v>0</v>
      </c>
      <c r="F39" s="811"/>
      <c r="G39" s="811"/>
      <c r="H39" s="811"/>
      <c r="I39" s="811"/>
      <c r="J39" s="812">
        <v>0.75756000000000001</v>
      </c>
      <c r="K39" s="811"/>
      <c r="L39" s="811"/>
      <c r="M39" s="811"/>
      <c r="N39" s="813">
        <f t="shared" si="8"/>
        <v>0.7575599999999999</v>
      </c>
      <c r="O39" s="813">
        <f t="shared" si="9"/>
        <v>-0.75756000000000001</v>
      </c>
      <c r="P39" s="813">
        <f t="shared" si="10"/>
        <v>-100</v>
      </c>
      <c r="Q39" s="813">
        <f t="shared" si="11"/>
        <v>-0.75756000000000001</v>
      </c>
      <c r="R39" s="813">
        <v>0</v>
      </c>
      <c r="S39" s="813">
        <v>0</v>
      </c>
      <c r="T39" s="813">
        <v>0</v>
      </c>
      <c r="U39" s="813">
        <v>0</v>
      </c>
      <c r="V39" s="813">
        <v>0</v>
      </c>
      <c r="W39" s="787"/>
    </row>
    <row r="40" spans="1:23" s="743" customFormat="1" ht="22.5">
      <c r="A40" s="788" t="s">
        <v>558</v>
      </c>
      <c r="B40" s="791" t="s">
        <v>560</v>
      </c>
      <c r="C40" s="813">
        <f>'приложение 1.1 '!I34</f>
        <v>0.7575599999999999</v>
      </c>
      <c r="D40" s="813">
        <f t="shared" si="7"/>
        <v>0</v>
      </c>
      <c r="E40" s="813">
        <f t="shared" si="6"/>
        <v>0</v>
      </c>
      <c r="F40" s="811"/>
      <c r="G40" s="811"/>
      <c r="H40" s="812"/>
      <c r="I40" s="811"/>
      <c r="J40" s="811"/>
      <c r="K40" s="811"/>
      <c r="L40" s="811"/>
      <c r="M40" s="811"/>
      <c r="N40" s="813">
        <f t="shared" si="8"/>
        <v>0.7575599999999999</v>
      </c>
      <c r="O40" s="813">
        <f t="shared" si="9"/>
        <v>0</v>
      </c>
      <c r="P40" s="813">
        <f t="shared" si="10"/>
        <v>0</v>
      </c>
      <c r="Q40" s="813">
        <f t="shared" si="11"/>
        <v>0</v>
      </c>
      <c r="R40" s="813">
        <v>0</v>
      </c>
      <c r="S40" s="813">
        <v>0</v>
      </c>
      <c r="T40" s="813">
        <v>0</v>
      </c>
      <c r="U40" s="813">
        <v>0</v>
      </c>
      <c r="V40" s="813">
        <v>0</v>
      </c>
      <c r="W40" s="787"/>
    </row>
    <row r="41" spans="1:23" s="743" customFormat="1" ht="11.25" customHeight="1">
      <c r="A41" s="793"/>
      <c r="B41" s="793"/>
      <c r="C41" s="794"/>
      <c r="D41" s="795"/>
      <c r="E41" s="795"/>
      <c r="F41" s="795"/>
      <c r="G41" s="795"/>
      <c r="H41" s="795"/>
      <c r="I41" s="795"/>
      <c r="J41" s="795"/>
      <c r="K41" s="795"/>
      <c r="L41" s="795"/>
      <c r="M41" s="795"/>
      <c r="N41" s="795"/>
      <c r="O41" s="795"/>
      <c r="P41" s="795"/>
      <c r="Q41" s="795"/>
      <c r="R41" s="795"/>
      <c r="S41" s="795"/>
      <c r="T41" s="795"/>
      <c r="U41" s="795"/>
      <c r="V41" s="795"/>
      <c r="W41" s="796"/>
    </row>
    <row r="42" spans="1:23" s="743" customFormat="1" ht="24.95" customHeight="1">
      <c r="A42" s="797" t="s">
        <v>645</v>
      </c>
      <c r="B42" s="744"/>
      <c r="C42" s="745"/>
      <c r="D42" s="795"/>
      <c r="E42" s="795"/>
      <c r="F42" s="795"/>
      <c r="G42" s="795"/>
      <c r="H42" s="795"/>
      <c r="I42" s="795"/>
      <c r="J42" s="795"/>
      <c r="K42" s="795"/>
      <c r="L42" s="795"/>
      <c r="M42" s="795"/>
      <c r="N42" s="795"/>
      <c r="O42" s="795"/>
      <c r="P42" s="795"/>
      <c r="Q42" s="795"/>
      <c r="R42" s="795"/>
      <c r="S42" s="795"/>
      <c r="T42" s="795"/>
      <c r="U42" s="795"/>
      <c r="V42" s="795"/>
      <c r="W42" s="796"/>
    </row>
    <row r="43" spans="1:23" s="795" customFormat="1" ht="11.25">
      <c r="A43" s="797" t="s">
        <v>646</v>
      </c>
      <c r="B43" s="798"/>
      <c r="C43" s="794"/>
      <c r="W43" s="796"/>
    </row>
    <row r="44" spans="1:23" s="795" customFormat="1" ht="11.25">
      <c r="A44" s="797" t="s">
        <v>647</v>
      </c>
      <c r="B44" s="744"/>
      <c r="C44" s="794"/>
      <c r="W44" s="796"/>
    </row>
    <row r="45" spans="1:23" s="795" customFormat="1" ht="11.25">
      <c r="A45" s="797" t="s">
        <v>648</v>
      </c>
      <c r="B45" s="798"/>
      <c r="C45" s="794"/>
      <c r="W45" s="796"/>
    </row>
    <row r="46" spans="1:23" s="795" customFormat="1">
      <c r="A46" s="753"/>
      <c r="B46" s="744"/>
      <c r="C46" s="799"/>
      <c r="D46" s="800"/>
      <c r="E46" s="800"/>
      <c r="F46" s="800"/>
      <c r="G46" s="800"/>
      <c r="H46" s="800"/>
      <c r="I46" s="800"/>
      <c r="J46" s="800"/>
      <c r="K46" s="800"/>
      <c r="L46" s="800"/>
      <c r="M46" s="800"/>
      <c r="N46" s="800"/>
      <c r="O46" s="800"/>
      <c r="P46" s="800"/>
      <c r="Q46" s="800"/>
      <c r="R46" s="800"/>
      <c r="S46" s="800"/>
      <c r="T46" s="800"/>
      <c r="U46" s="800"/>
      <c r="V46" s="800"/>
      <c r="W46" s="801"/>
    </row>
    <row r="47" spans="1:23" s="795" customFormat="1" ht="12">
      <c r="A47" s="744" t="s">
        <v>60</v>
      </c>
      <c r="B47" s="798"/>
      <c r="C47" s="794"/>
      <c r="D47" s="802"/>
      <c r="E47" s="802"/>
      <c r="F47" s="802"/>
      <c r="G47" s="802"/>
      <c r="H47" s="802"/>
      <c r="I47" s="802"/>
      <c r="J47" s="802"/>
      <c r="K47" s="802"/>
      <c r="L47" s="802"/>
      <c r="M47" s="802"/>
      <c r="N47" s="802"/>
      <c r="O47" s="802"/>
      <c r="P47" s="802"/>
      <c r="Q47" s="802"/>
      <c r="R47" s="802"/>
      <c r="S47" s="802"/>
      <c r="T47" s="802"/>
      <c r="U47" s="802"/>
      <c r="V47" s="802"/>
      <c r="W47" s="762"/>
    </row>
    <row r="48" spans="1:23" s="800" customFormat="1">
      <c r="A48" s="798"/>
      <c r="B48" s="798"/>
      <c r="C48" s="794"/>
      <c r="D48" s="803"/>
      <c r="E48" s="803"/>
      <c r="F48" s="803"/>
      <c r="G48" s="803"/>
      <c r="H48" s="803"/>
      <c r="I48" s="803"/>
      <c r="J48" s="803"/>
      <c r="K48" s="803"/>
      <c r="L48" s="803"/>
      <c r="M48" s="803"/>
      <c r="N48" s="803"/>
      <c r="O48" s="803"/>
      <c r="P48" s="803"/>
      <c r="Q48" s="803"/>
      <c r="R48" s="803"/>
      <c r="S48" s="803"/>
      <c r="T48" s="803"/>
      <c r="U48" s="803"/>
      <c r="V48" s="803"/>
      <c r="W48" s="801"/>
    </row>
    <row r="49" spans="1:23" s="802" customFormat="1">
      <c r="A49" s="798"/>
      <c r="B49" s="798"/>
      <c r="C49" s="794"/>
      <c r="D49" s="803"/>
      <c r="E49" s="803"/>
      <c r="F49" s="803"/>
      <c r="G49" s="803"/>
      <c r="H49" s="803"/>
      <c r="I49" s="803"/>
      <c r="J49" s="803"/>
      <c r="K49" s="803"/>
      <c r="L49" s="803"/>
      <c r="M49" s="803"/>
      <c r="N49" s="803"/>
      <c r="O49" s="803"/>
      <c r="P49" s="803"/>
      <c r="Q49" s="803"/>
      <c r="R49" s="803"/>
      <c r="S49" s="803"/>
      <c r="T49" s="803"/>
      <c r="U49" s="803"/>
      <c r="V49" s="803"/>
      <c r="W49" s="801"/>
    </row>
  </sheetData>
  <mergeCells count="37">
    <mergeCell ref="J21:J25"/>
    <mergeCell ref="K21:K25"/>
    <mergeCell ref="L21:L25"/>
    <mergeCell ref="V21:V25"/>
    <mergeCell ref="M21:M25"/>
    <mergeCell ref="Q21:Q25"/>
    <mergeCell ref="R21:R25"/>
    <mergeCell ref="S21:S25"/>
    <mergeCell ref="T21:T25"/>
    <mergeCell ref="U21:U25"/>
    <mergeCell ref="P19:P25"/>
    <mergeCell ref="Q19:R19"/>
    <mergeCell ref="S19:V19"/>
    <mergeCell ref="S20:T20"/>
    <mergeCell ref="U20:V20"/>
    <mergeCell ref="O19:O25"/>
    <mergeCell ref="E21:E25"/>
    <mergeCell ref="F21:F25"/>
    <mergeCell ref="G21:G25"/>
    <mergeCell ref="H21:H25"/>
    <mergeCell ref="I21:I25"/>
    <mergeCell ref="A13:W13"/>
    <mergeCell ref="A14:W14"/>
    <mergeCell ref="A17:A25"/>
    <mergeCell ref="B17:B25"/>
    <mergeCell ref="C17:C25"/>
    <mergeCell ref="D17:M18"/>
    <mergeCell ref="N17:N25"/>
    <mergeCell ref="O17:R18"/>
    <mergeCell ref="S17:V18"/>
    <mergeCell ref="W17:W25"/>
    <mergeCell ref="D19:E19"/>
    <mergeCell ref="F19:G19"/>
    <mergeCell ref="H19:I19"/>
    <mergeCell ref="J19:K19"/>
    <mergeCell ref="L19:M19"/>
    <mergeCell ref="D21:D25"/>
  </mergeCells>
  <pageMargins left="0.39370078740157483" right="0.39370078740157483" top="0.59055118110236227" bottom="0.39370078740157483" header="0.27559055118110237" footer="0.27559055118110237"/>
  <pageSetup paperSize="8" scale="79" orientation="landscape" r:id="rId1"/>
  <headerFooter alignWithMargins="0">
    <oddHeader>&amp;L&amp;"Tahoma,обычный"&amp;6Подготовлено с использованием системы ГАРАНТ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1"/>
  <sheetViews>
    <sheetView workbookViewId="0">
      <selection activeCell="M24" sqref="M24:N24"/>
    </sheetView>
  </sheetViews>
  <sheetFormatPr defaultRowHeight="15.75"/>
  <cols>
    <col min="1" max="1" width="2.5" style="431" customWidth="1"/>
    <col min="2" max="2" width="27.875" style="429" customWidth="1"/>
    <col min="3" max="16" width="9.375" style="429" customWidth="1"/>
    <col min="17" max="17" width="8" style="429" hidden="1" customWidth="1"/>
    <col min="18" max="18" width="26.125" style="429" customWidth="1"/>
    <col min="19" max="16384" width="9" style="431"/>
  </cols>
  <sheetData>
    <row r="1" spans="2:18">
      <c r="P1" s="430" t="s">
        <v>517</v>
      </c>
    </row>
    <row r="2" spans="2:18">
      <c r="P2" s="430" t="s">
        <v>433</v>
      </c>
    </row>
    <row r="3" spans="2:18">
      <c r="P3" s="430" t="s">
        <v>400</v>
      </c>
    </row>
    <row r="5" spans="2:18" ht="39" customHeight="1">
      <c r="B5" s="916" t="s">
        <v>617</v>
      </c>
      <c r="C5" s="917"/>
      <c r="D5" s="917"/>
      <c r="E5" s="917"/>
      <c r="F5" s="917"/>
      <c r="G5" s="917"/>
      <c r="H5" s="917"/>
      <c r="I5" s="917"/>
      <c r="J5" s="917"/>
      <c r="K5" s="917"/>
      <c r="L5" s="917"/>
      <c r="M5" s="917"/>
      <c r="N5" s="917"/>
      <c r="O5" s="917"/>
      <c r="P5" s="917"/>
    </row>
    <row r="7" spans="2:18">
      <c r="P7" s="432" t="s">
        <v>434</v>
      </c>
      <c r="Q7" s="433"/>
      <c r="R7" s="433"/>
    </row>
    <row r="8" spans="2:18">
      <c r="P8" s="432" t="s">
        <v>615</v>
      </c>
      <c r="Q8" s="434"/>
    </row>
    <row r="9" spans="2:18">
      <c r="P9" s="432" t="s">
        <v>618</v>
      </c>
      <c r="Q9" s="434"/>
    </row>
    <row r="10" spans="2:18">
      <c r="P10" s="432" t="s">
        <v>656</v>
      </c>
      <c r="Q10" s="434"/>
    </row>
    <row r="11" spans="2:18">
      <c r="P11" s="432" t="s">
        <v>173</v>
      </c>
      <c r="Q11" s="434"/>
    </row>
    <row r="13" spans="2:18">
      <c r="B13" s="435" t="s">
        <v>518</v>
      </c>
    </row>
    <row r="15" spans="2:18">
      <c r="B15" s="435" t="s">
        <v>519</v>
      </c>
    </row>
    <row r="16" spans="2:18">
      <c r="B16" s="429" t="s">
        <v>544</v>
      </c>
    </row>
    <row r="17" spans="2:18">
      <c r="B17" s="501" t="s">
        <v>520</v>
      </c>
      <c r="C17" s="501"/>
      <c r="D17" s="501"/>
      <c r="E17" s="501"/>
      <c r="F17" s="501"/>
      <c r="G17" s="501"/>
      <c r="H17" s="501"/>
      <c r="I17" s="501"/>
      <c r="J17" s="501"/>
      <c r="K17" s="501"/>
      <c r="L17" s="501"/>
      <c r="M17" s="501"/>
      <c r="N17" s="501"/>
      <c r="O17" s="501"/>
    </row>
    <row r="18" spans="2:18">
      <c r="B18" s="501" t="s">
        <v>526</v>
      </c>
      <c r="C18" s="501"/>
      <c r="D18" s="501"/>
      <c r="E18" s="501"/>
      <c r="F18" s="501"/>
      <c r="G18" s="501"/>
      <c r="H18" s="501"/>
      <c r="I18" s="501"/>
      <c r="J18" s="501"/>
      <c r="K18" s="501"/>
      <c r="L18" s="501"/>
      <c r="M18" s="501"/>
      <c r="N18" s="501"/>
      <c r="O18" s="501"/>
    </row>
    <row r="21" spans="2:18">
      <c r="B21" s="436"/>
      <c r="C21" s="918" t="s">
        <v>145</v>
      </c>
      <c r="D21" s="918"/>
      <c r="E21" s="918" t="s">
        <v>146</v>
      </c>
      <c r="F21" s="918"/>
      <c r="G21" s="918" t="s">
        <v>534</v>
      </c>
      <c r="H21" s="918"/>
      <c r="I21" s="918" t="s">
        <v>562</v>
      </c>
      <c r="J21" s="918"/>
      <c r="K21" s="922" t="s">
        <v>563</v>
      </c>
      <c r="L21" s="923"/>
      <c r="M21" s="922" t="s">
        <v>82</v>
      </c>
      <c r="N21" s="923"/>
      <c r="O21" s="919"/>
      <c r="P21" s="919"/>
      <c r="Q21" s="441"/>
      <c r="R21" s="441"/>
    </row>
    <row r="22" spans="2:18">
      <c r="B22" s="913" t="s">
        <v>81</v>
      </c>
      <c r="C22" s="437" t="s">
        <v>2</v>
      </c>
      <c r="D22" s="437" t="s">
        <v>413</v>
      </c>
      <c r="E22" s="437" t="s">
        <v>2</v>
      </c>
      <c r="F22" s="437" t="s">
        <v>413</v>
      </c>
      <c r="G22" s="437" t="s">
        <v>2</v>
      </c>
      <c r="H22" s="437" t="s">
        <v>413</v>
      </c>
      <c r="I22" s="437" t="s">
        <v>2</v>
      </c>
      <c r="J22" s="437" t="s">
        <v>413</v>
      </c>
      <c r="K22" s="437" t="s">
        <v>2</v>
      </c>
      <c r="L22" s="437" t="s">
        <v>413</v>
      </c>
      <c r="M22" s="550" t="s">
        <v>2</v>
      </c>
      <c r="N22" s="550" t="s">
        <v>413</v>
      </c>
      <c r="O22" s="458"/>
      <c r="P22" s="458"/>
      <c r="Q22" s="441"/>
      <c r="R22" s="441"/>
    </row>
    <row r="23" spans="2:18">
      <c r="B23" s="914"/>
      <c r="C23" s="447">
        <f>'приложение 1.1 '!K19</f>
        <v>0</v>
      </c>
      <c r="D23" s="447">
        <f>'приложение 1.1 '!L19</f>
        <v>0</v>
      </c>
      <c r="E23" s="447">
        <f>'приложение 1.1 '!M19</f>
        <v>0</v>
      </c>
      <c r="F23" s="447">
        <f>'приложение 1.1 '!N19</f>
        <v>20</v>
      </c>
      <c r="G23" s="447">
        <f>'приложение 1.1 '!O19</f>
        <v>0</v>
      </c>
      <c r="H23" s="447">
        <f>'приложение 1.1 '!P19</f>
        <v>10</v>
      </c>
      <c r="I23" s="447">
        <f>'приложение 1.1 '!Q19</f>
        <v>13.353999999999999</v>
      </c>
      <c r="J23" s="447">
        <f>'приложение 1.1 '!R19</f>
        <v>10</v>
      </c>
      <c r="K23" s="447">
        <f>'приложение 1.1 '!S19</f>
        <v>0</v>
      </c>
      <c r="L23" s="447">
        <f>'приложение 1.1 '!T19</f>
        <v>0</v>
      </c>
      <c r="M23" s="447">
        <f>G23+I23+K23+E23+C23</f>
        <v>13.353999999999999</v>
      </c>
      <c r="N23" s="447">
        <f>H23+J23+L23+F23+D23</f>
        <v>40</v>
      </c>
      <c r="O23" s="459"/>
      <c r="P23" s="459"/>
      <c r="Q23" s="441"/>
      <c r="R23" s="441"/>
    </row>
    <row r="24" spans="2:18" ht="25.5" customHeight="1">
      <c r="B24" s="438" t="s">
        <v>611</v>
      </c>
      <c r="C24" s="915">
        <f>'приложение 1.1 '!W19</f>
        <v>11.366082</v>
      </c>
      <c r="D24" s="915"/>
      <c r="E24" s="915">
        <f>'приложение 1.1 '!X19</f>
        <v>44.750319999999995</v>
      </c>
      <c r="F24" s="915"/>
      <c r="G24" s="915">
        <f>'приложение 1.1 '!Y19</f>
        <v>57.067484629999996</v>
      </c>
      <c r="H24" s="915"/>
      <c r="I24" s="915">
        <f>'приложение 1.1 '!Z19</f>
        <v>57.901544635</v>
      </c>
      <c r="J24" s="915"/>
      <c r="K24" s="920">
        <f>'приложение 1.1 '!AA19</f>
        <v>3.0090000000000003</v>
      </c>
      <c r="L24" s="921"/>
      <c r="M24" s="920">
        <f>SUM(C24:L24)</f>
        <v>174.09443126499997</v>
      </c>
      <c r="N24" s="921"/>
      <c r="O24" s="912"/>
      <c r="P24" s="912"/>
      <c r="Q24" s="441"/>
      <c r="R24" s="441"/>
    </row>
    <row r="25" spans="2:18">
      <c r="B25" s="439"/>
      <c r="C25" s="440"/>
      <c r="D25" s="440"/>
      <c r="E25" s="441"/>
      <c r="F25" s="441"/>
    </row>
    <row r="26" spans="2:18">
      <c r="B26" s="442" t="s">
        <v>521</v>
      </c>
      <c r="C26" s="440"/>
      <c r="D26" s="440"/>
      <c r="E26" s="441"/>
      <c r="F26" s="441"/>
    </row>
    <row r="27" spans="2:18">
      <c r="B27" s="441"/>
      <c r="C27" s="441"/>
      <c r="D27" s="441"/>
      <c r="E27" s="441"/>
      <c r="F27" s="441"/>
    </row>
    <row r="28" spans="2:18">
      <c r="B28" s="429" t="s">
        <v>541</v>
      </c>
      <c r="C28" s="441"/>
      <c r="D28" s="441"/>
      <c r="E28" s="441"/>
      <c r="F28" s="441"/>
    </row>
    <row r="29" spans="2:18">
      <c r="B29" s="429" t="s">
        <v>542</v>
      </c>
      <c r="C29" s="441"/>
      <c r="D29" s="441"/>
      <c r="E29" s="441"/>
      <c r="F29" s="441"/>
    </row>
    <row r="30" spans="2:18">
      <c r="B30" s="429" t="s">
        <v>522</v>
      </c>
      <c r="C30" s="441"/>
      <c r="D30" s="441"/>
      <c r="E30" s="441"/>
      <c r="F30" s="441"/>
    </row>
    <row r="31" spans="2:18">
      <c r="B31" s="429" t="s">
        <v>523</v>
      </c>
      <c r="C31" s="441"/>
      <c r="D31" s="441"/>
      <c r="E31" s="441"/>
      <c r="F31" s="441"/>
      <c r="J31" s="441"/>
      <c r="K31" s="441"/>
      <c r="L31" s="441"/>
    </row>
    <row r="32" spans="2:18" ht="19.5" customHeight="1">
      <c r="B32" s="443" t="s">
        <v>543</v>
      </c>
      <c r="C32" s="444"/>
      <c r="D32" s="441"/>
      <c r="E32" s="441"/>
      <c r="F32" s="441"/>
      <c r="J32" s="441"/>
      <c r="K32" s="441"/>
      <c r="L32" s="441"/>
    </row>
    <row r="33" spans="1:12" ht="19.5" customHeight="1">
      <c r="B33" s="429" t="s">
        <v>524</v>
      </c>
      <c r="C33" s="445"/>
      <c r="D33" s="441"/>
      <c r="E33" s="441"/>
      <c r="F33" s="441"/>
      <c r="J33" s="441"/>
      <c r="K33" s="441"/>
      <c r="L33" s="441"/>
    </row>
    <row r="34" spans="1:12">
      <c r="B34" s="439"/>
      <c r="C34" s="445"/>
      <c r="D34" s="441"/>
      <c r="E34" s="441"/>
      <c r="F34" s="441"/>
      <c r="J34" s="441"/>
      <c r="K34" s="441"/>
      <c r="L34" s="441"/>
    </row>
    <row r="35" spans="1:12" s="429" customFormat="1">
      <c r="A35" s="431"/>
      <c r="B35" s="442" t="s">
        <v>525</v>
      </c>
      <c r="C35" s="445"/>
      <c r="D35" s="441"/>
      <c r="E35" s="441"/>
      <c r="F35" s="441"/>
    </row>
    <row r="36" spans="1:12" s="429" customFormat="1">
      <c r="A36" s="431"/>
      <c r="B36" s="442"/>
      <c r="C36" s="445"/>
      <c r="D36" s="441"/>
      <c r="E36" s="441"/>
      <c r="F36" s="441"/>
    </row>
    <row r="37" spans="1:12" s="429" customFormat="1">
      <c r="A37" s="431"/>
      <c r="B37" s="446" t="s">
        <v>649</v>
      </c>
      <c r="C37" s="445"/>
      <c r="D37" s="441"/>
      <c r="E37" s="441"/>
      <c r="F37" s="441"/>
    </row>
    <row r="38" spans="1:12" s="429" customFormat="1">
      <c r="A38" s="431"/>
      <c r="B38" s="446" t="s">
        <v>668</v>
      </c>
      <c r="C38" s="445"/>
      <c r="D38" s="441"/>
      <c r="E38" s="441"/>
      <c r="F38" s="441"/>
    </row>
    <row r="39" spans="1:12" s="429" customFormat="1">
      <c r="A39" s="431"/>
      <c r="B39" s="446"/>
      <c r="C39" s="445"/>
      <c r="D39" s="441"/>
      <c r="E39" s="441"/>
      <c r="F39" s="441"/>
    </row>
    <row r="40" spans="1:12" s="429" customFormat="1">
      <c r="A40" s="431"/>
      <c r="B40" s="441"/>
      <c r="C40" s="441"/>
      <c r="D40" s="441"/>
      <c r="E40" s="441"/>
      <c r="F40" s="441"/>
    </row>
    <row r="41" spans="1:12" s="429" customFormat="1">
      <c r="A41" s="431"/>
      <c r="B41" s="441"/>
      <c r="C41" s="441"/>
      <c r="D41" s="441"/>
      <c r="E41" s="441"/>
      <c r="F41" s="441"/>
    </row>
  </sheetData>
  <customSheetViews>
    <customSheetView guid="{8313A758-6764-4FAF-B5C3-0AC63E11C07D}" showPageBreaks="1" hiddenColumns="1">
      <selection activeCell="L23" sqref="L23"/>
      <pageMargins left="0.70866141732283472" right="0.31496062992125984" top="0.74803149606299213" bottom="0.74803149606299213" header="0.31496062992125984" footer="0.31496062992125984"/>
      <pageSetup paperSize="9" scale="75" orientation="landscape" r:id="rId1"/>
    </customSheetView>
    <customSheetView guid="{39750778-B4CA-4A61-A93E-2C57443220F3}" hiddenColumns="1">
      <selection activeCell="J22" sqref="J22"/>
      <pageMargins left="0.70866141732283472" right="0.31496062992125984" top="0.74803149606299213" bottom="0.74803149606299213" header="0.31496062992125984" footer="0.31496062992125984"/>
      <pageSetup paperSize="9" scale="75" orientation="landscape" r:id="rId2"/>
    </customSheetView>
  </customSheetViews>
  <mergeCells count="16">
    <mergeCell ref="O24:P24"/>
    <mergeCell ref="B22:B23"/>
    <mergeCell ref="C24:D24"/>
    <mergeCell ref="B5:P5"/>
    <mergeCell ref="C21:D21"/>
    <mergeCell ref="E21:F21"/>
    <mergeCell ref="G21:H21"/>
    <mergeCell ref="I21:J21"/>
    <mergeCell ref="O21:P21"/>
    <mergeCell ref="E24:F24"/>
    <mergeCell ref="G24:H24"/>
    <mergeCell ref="I24:J24"/>
    <mergeCell ref="K24:L24"/>
    <mergeCell ref="M24:N24"/>
    <mergeCell ref="K21:L21"/>
    <mergeCell ref="M21:N21"/>
  </mergeCells>
  <pageMargins left="0.70866141732283472" right="0.31496062992125984" top="0.74803149606299213" bottom="0.74803149606299213" header="0.31496062992125984" footer="0.31496062992125984"/>
  <pageSetup paperSize="9" scale="75" orientation="landscape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B133"/>
  <sheetViews>
    <sheetView view="pageBreakPreview" topLeftCell="A19" zoomScale="50" zoomScaleNormal="50" zoomScaleSheetLayoutView="50" zoomScalePageLayoutView="20" workbookViewId="0">
      <selection activeCell="G16" sqref="G16"/>
    </sheetView>
  </sheetViews>
  <sheetFormatPr defaultRowHeight="20.25" outlineLevelRow="1"/>
  <cols>
    <col min="1" max="1" width="12" style="252" customWidth="1"/>
    <col min="2" max="2" width="58.5" style="253" customWidth="1"/>
    <col min="3" max="3" width="26.125" style="253" customWidth="1"/>
    <col min="4" max="4" width="24.25" style="253" customWidth="1"/>
    <col min="5" max="5" width="19.125" style="254" customWidth="1"/>
    <col min="6" max="6" width="16.25" style="254" customWidth="1"/>
    <col min="7" max="7" width="17" style="255" customWidth="1"/>
    <col min="8" max="8" width="18.125" style="254" customWidth="1"/>
    <col min="9" max="9" width="20.875" style="253" customWidth="1"/>
    <col min="10" max="10" width="19.625" style="253" customWidth="1"/>
    <col min="11" max="11" width="22.5" style="253" customWidth="1"/>
    <col min="12" max="12" width="21.5" style="253" customWidth="1"/>
    <col min="13" max="13" width="20.875" style="253" customWidth="1"/>
    <col min="14" max="14" width="23.125" style="253" customWidth="1"/>
    <col min="15" max="15" width="21.5" style="253" customWidth="1"/>
    <col min="16" max="16" width="21.875" style="253" customWidth="1"/>
    <col min="17" max="17" width="22.375" style="253" customWidth="1"/>
    <col min="18" max="18" width="25.125" style="253" customWidth="1"/>
    <col min="19" max="19" width="24.875" style="253" customWidth="1"/>
    <col min="20" max="20" width="22" style="253" customWidth="1"/>
    <col min="21" max="21" width="55.75" style="254" customWidth="1"/>
    <col min="22" max="22" width="18.75" style="254" customWidth="1"/>
    <col min="23" max="23" width="42.875" style="254" customWidth="1"/>
    <col min="24" max="24" width="18" style="253" customWidth="1"/>
    <col min="25" max="25" width="19.875" style="253" customWidth="1"/>
    <col min="26" max="26" width="17" style="253" customWidth="1"/>
    <col min="27" max="27" width="20.875" style="253" customWidth="1"/>
    <col min="28" max="28" width="0" style="254" hidden="1" customWidth="1"/>
    <col min="29" max="16384" width="9" style="252"/>
  </cols>
  <sheetData>
    <row r="1" spans="1:28">
      <c r="O1" s="255"/>
      <c r="P1" s="255"/>
      <c r="R1" s="255"/>
      <c r="T1" s="255"/>
      <c r="X1" s="255"/>
      <c r="Y1" s="255"/>
      <c r="Z1" s="255"/>
      <c r="AA1" s="125" t="s">
        <v>217</v>
      </c>
    </row>
    <row r="2" spans="1:28">
      <c r="O2" s="255"/>
      <c r="P2" s="255"/>
      <c r="R2" s="255"/>
      <c r="T2" s="255"/>
      <c r="X2" s="255"/>
      <c r="Y2" s="255"/>
      <c r="Z2" s="255"/>
      <c r="AA2" s="125" t="s">
        <v>433</v>
      </c>
    </row>
    <row r="3" spans="1:28" ht="23.25">
      <c r="A3" s="495"/>
      <c r="B3" s="496"/>
      <c r="C3" s="496"/>
      <c r="D3" s="496"/>
      <c r="E3" s="497"/>
      <c r="F3" s="497"/>
      <c r="G3" s="498"/>
      <c r="H3" s="497"/>
      <c r="I3" s="496"/>
      <c r="J3" s="496"/>
      <c r="K3" s="496"/>
      <c r="L3" s="496"/>
      <c r="M3" s="496"/>
      <c r="N3" s="496"/>
      <c r="O3" s="498"/>
      <c r="P3" s="498"/>
      <c r="Q3" s="496"/>
      <c r="R3" s="498"/>
      <c r="S3" s="496"/>
      <c r="T3" s="498"/>
      <c r="U3" s="497"/>
      <c r="V3" s="497"/>
      <c r="W3" s="497"/>
      <c r="X3" s="498"/>
      <c r="Y3" s="498"/>
      <c r="Z3" s="498"/>
      <c r="AA3" s="499" t="s">
        <v>400</v>
      </c>
    </row>
    <row r="4" spans="1:28" ht="22.5">
      <c r="A4" s="924" t="s">
        <v>4</v>
      </c>
      <c r="B4" s="924"/>
      <c r="C4" s="924"/>
      <c r="D4" s="92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</row>
    <row r="5" spans="1:28" ht="37.5" customHeight="1">
      <c r="A5" s="925" t="s">
        <v>616</v>
      </c>
      <c r="B5" s="925"/>
      <c r="C5" s="925"/>
      <c r="D5" s="925"/>
      <c r="E5" s="925"/>
      <c r="F5" s="925"/>
      <c r="G5" s="925"/>
      <c r="H5" s="925"/>
      <c r="I5" s="925"/>
      <c r="J5" s="925"/>
      <c r="K5" s="925"/>
      <c r="L5" s="925"/>
      <c r="M5" s="925"/>
      <c r="N5" s="925"/>
      <c r="O5" s="925"/>
      <c r="P5" s="925"/>
      <c r="Q5" s="925"/>
      <c r="R5" s="925"/>
      <c r="S5" s="925"/>
      <c r="T5" s="925"/>
      <c r="U5" s="925"/>
      <c r="V5" s="925"/>
      <c r="W5" s="925"/>
      <c r="X5" s="925"/>
      <c r="Y5" s="925"/>
      <c r="Z5" s="925"/>
      <c r="AA5" s="925"/>
    </row>
    <row r="6" spans="1:28" ht="15.75" customHeight="1">
      <c r="O6" s="255"/>
      <c r="P6" s="255"/>
      <c r="R6" s="255"/>
      <c r="T6" s="255"/>
      <c r="X6" s="255"/>
      <c r="Y6" s="432"/>
      <c r="Z6" s="432"/>
      <c r="AA6" s="732" t="s">
        <v>434</v>
      </c>
    </row>
    <row r="7" spans="1:28">
      <c r="O7" s="255"/>
      <c r="P7" s="255"/>
      <c r="R7" s="255"/>
      <c r="T7" s="255"/>
      <c r="X7" s="255"/>
      <c r="Y7" s="432"/>
      <c r="Z7" s="432"/>
      <c r="AA7" s="732" t="s">
        <v>615</v>
      </c>
    </row>
    <row r="8" spans="1:28">
      <c r="O8" s="255"/>
      <c r="P8" s="255"/>
      <c r="R8" s="255"/>
      <c r="T8" s="255"/>
      <c r="X8" s="255"/>
      <c r="Y8" s="432"/>
      <c r="Z8" s="432"/>
      <c r="AA8" s="732" t="s">
        <v>618</v>
      </c>
    </row>
    <row r="9" spans="1:28">
      <c r="O9" s="255"/>
      <c r="P9" s="255"/>
      <c r="R9" s="255"/>
      <c r="T9" s="255"/>
      <c r="X9" s="255"/>
      <c r="Y9" s="432"/>
      <c r="Z9" s="432"/>
      <c r="AA9" s="732" t="s">
        <v>656</v>
      </c>
    </row>
    <row r="10" spans="1:28">
      <c r="O10" s="255"/>
      <c r="P10" s="255"/>
      <c r="R10" s="255"/>
      <c r="T10" s="255"/>
      <c r="X10" s="255"/>
      <c r="Y10" s="432"/>
      <c r="Z10" s="432"/>
      <c r="AA10" s="732" t="s">
        <v>173</v>
      </c>
    </row>
    <row r="12" spans="1:28" s="253" customFormat="1" ht="83.25" customHeight="1">
      <c r="A12" s="926" t="s">
        <v>335</v>
      </c>
      <c r="B12" s="926" t="s">
        <v>342</v>
      </c>
      <c r="C12" s="926" t="s">
        <v>332</v>
      </c>
      <c r="D12" s="926" t="s">
        <v>346</v>
      </c>
      <c r="E12" s="926" t="s">
        <v>449</v>
      </c>
      <c r="F12" s="926"/>
      <c r="G12" s="926"/>
      <c r="H12" s="926" t="s">
        <v>347</v>
      </c>
      <c r="I12" s="926" t="s">
        <v>450</v>
      </c>
      <c r="J12" s="926"/>
      <c r="K12" s="926" t="s">
        <v>345</v>
      </c>
      <c r="L12" s="926"/>
      <c r="M12" s="926"/>
      <c r="N12" s="926"/>
      <c r="O12" s="926" t="s">
        <v>669</v>
      </c>
      <c r="P12" s="926" t="s">
        <v>670</v>
      </c>
      <c r="Q12" s="926" t="s">
        <v>407</v>
      </c>
      <c r="R12" s="926"/>
      <c r="S12" s="928" t="s">
        <v>671</v>
      </c>
      <c r="T12" s="928"/>
      <c r="U12" s="927" t="s">
        <v>333</v>
      </c>
      <c r="V12" s="927"/>
      <c r="W12" s="927"/>
      <c r="X12" s="926" t="s">
        <v>394</v>
      </c>
      <c r="Y12" s="926"/>
      <c r="Z12" s="926"/>
      <c r="AA12" s="926"/>
      <c r="AB12" s="254"/>
    </row>
    <row r="13" spans="1:28" s="253" customFormat="1" ht="39.75" customHeight="1">
      <c r="A13" s="927"/>
      <c r="B13" s="926"/>
      <c r="C13" s="926"/>
      <c r="D13" s="926"/>
      <c r="E13" s="926" t="s">
        <v>401</v>
      </c>
      <c r="F13" s="926" t="s">
        <v>340</v>
      </c>
      <c r="G13" s="926" t="s">
        <v>402</v>
      </c>
      <c r="H13" s="926"/>
      <c r="I13" s="926" t="s">
        <v>343</v>
      </c>
      <c r="J13" s="926" t="s">
        <v>344</v>
      </c>
      <c r="K13" s="926" t="s">
        <v>348</v>
      </c>
      <c r="L13" s="926" t="s">
        <v>502</v>
      </c>
      <c r="M13" s="926" t="s">
        <v>501</v>
      </c>
      <c r="N13" s="926" t="s">
        <v>503</v>
      </c>
      <c r="O13" s="926"/>
      <c r="P13" s="926"/>
      <c r="Q13" s="926" t="s">
        <v>397</v>
      </c>
      <c r="R13" s="926" t="s">
        <v>339</v>
      </c>
      <c r="S13" s="926" t="s">
        <v>249</v>
      </c>
      <c r="T13" s="926" t="s">
        <v>339</v>
      </c>
      <c r="U13" s="926" t="s">
        <v>183</v>
      </c>
      <c r="V13" s="926" t="s">
        <v>431</v>
      </c>
      <c r="W13" s="926" t="s">
        <v>432</v>
      </c>
      <c r="X13" s="926" t="s">
        <v>334</v>
      </c>
      <c r="Y13" s="926"/>
      <c r="Z13" s="926" t="s">
        <v>336</v>
      </c>
      <c r="AA13" s="926"/>
      <c r="AB13" s="254"/>
    </row>
    <row r="14" spans="1:28" ht="111" customHeight="1">
      <c r="A14" s="927"/>
      <c r="B14" s="926"/>
      <c r="C14" s="926"/>
      <c r="D14" s="926"/>
      <c r="E14" s="926"/>
      <c r="F14" s="926"/>
      <c r="G14" s="926"/>
      <c r="H14" s="926"/>
      <c r="I14" s="926"/>
      <c r="J14" s="926"/>
      <c r="K14" s="926"/>
      <c r="L14" s="926"/>
      <c r="M14" s="926"/>
      <c r="N14" s="926"/>
      <c r="O14" s="926"/>
      <c r="P14" s="926"/>
      <c r="Q14" s="926"/>
      <c r="R14" s="926"/>
      <c r="S14" s="926"/>
      <c r="T14" s="926"/>
      <c r="U14" s="926"/>
      <c r="V14" s="926"/>
      <c r="W14" s="926"/>
      <c r="X14" s="675" t="s">
        <v>179</v>
      </c>
      <c r="Y14" s="675" t="s">
        <v>341</v>
      </c>
      <c r="Z14" s="675" t="s">
        <v>337</v>
      </c>
      <c r="AA14" s="675" t="s">
        <v>338</v>
      </c>
    </row>
    <row r="15" spans="1:28" s="258" customFormat="1" ht="27.75" customHeight="1">
      <c r="A15" s="556">
        <v>1</v>
      </c>
      <c r="B15" s="555">
        <v>2</v>
      </c>
      <c r="C15" s="555">
        <v>3</v>
      </c>
      <c r="D15" s="555">
        <v>4</v>
      </c>
      <c r="E15" s="555">
        <v>5</v>
      </c>
      <c r="F15" s="555">
        <v>6</v>
      </c>
      <c r="G15" s="555">
        <v>7</v>
      </c>
      <c r="H15" s="555">
        <v>8</v>
      </c>
      <c r="I15" s="555">
        <v>9</v>
      </c>
      <c r="J15" s="555">
        <v>10</v>
      </c>
      <c r="K15" s="555">
        <v>11</v>
      </c>
      <c r="L15" s="555">
        <v>12</v>
      </c>
      <c r="M15" s="555">
        <v>13</v>
      </c>
      <c r="N15" s="555">
        <v>14</v>
      </c>
      <c r="O15" s="555">
        <v>15</v>
      </c>
      <c r="P15" s="555">
        <v>16</v>
      </c>
      <c r="Q15" s="555">
        <v>17</v>
      </c>
      <c r="R15" s="555">
        <v>18</v>
      </c>
      <c r="S15" s="555">
        <v>19</v>
      </c>
      <c r="T15" s="555">
        <v>20</v>
      </c>
      <c r="U15" s="555">
        <v>21</v>
      </c>
      <c r="V15" s="555">
        <v>22</v>
      </c>
      <c r="W15" s="676">
        <v>23</v>
      </c>
      <c r="X15" s="555">
        <v>24</v>
      </c>
      <c r="Y15" s="555">
        <v>25</v>
      </c>
      <c r="Z15" s="555">
        <v>26</v>
      </c>
      <c r="AA15" s="555">
        <v>27</v>
      </c>
      <c r="AB15" s="254"/>
    </row>
    <row r="16" spans="1:28" ht="33.75" customHeight="1">
      <c r="A16" s="256"/>
      <c r="B16" s="257" t="s">
        <v>297</v>
      </c>
      <c r="C16" s="257"/>
      <c r="D16" s="257"/>
      <c r="E16" s="259">
        <f>E17+E38</f>
        <v>40</v>
      </c>
      <c r="F16" s="259"/>
      <c r="G16" s="259">
        <f>G17+G38</f>
        <v>13.353999999999999</v>
      </c>
      <c r="H16" s="259"/>
      <c r="I16" s="259"/>
      <c r="J16" s="259"/>
      <c r="K16" s="259"/>
      <c r="L16" s="259"/>
      <c r="M16" s="259"/>
      <c r="N16" s="259"/>
      <c r="O16" s="259"/>
      <c r="P16" s="259"/>
      <c r="Q16" s="259">
        <f>Q17+Q38</f>
        <v>174.094431265</v>
      </c>
      <c r="R16" s="259"/>
      <c r="S16" s="259">
        <f>S17+S38</f>
        <v>162.72834926499999</v>
      </c>
      <c r="T16" s="260"/>
      <c r="U16" s="362"/>
      <c r="V16" s="257"/>
      <c r="W16" s="676"/>
      <c r="X16" s="598"/>
      <c r="Y16" s="598"/>
      <c r="Z16" s="598"/>
      <c r="AA16" s="598"/>
    </row>
    <row r="17" spans="1:28" ht="55.5" customHeight="1">
      <c r="A17" s="195">
        <v>1</v>
      </c>
      <c r="B17" s="195" t="s">
        <v>163</v>
      </c>
      <c r="C17" s="195"/>
      <c r="D17" s="126"/>
      <c r="E17" s="235">
        <f>E18+E30+E36</f>
        <v>40</v>
      </c>
      <c r="F17" s="236"/>
      <c r="G17" s="237">
        <f>G18+G30+G36</f>
        <v>13.353999999999999</v>
      </c>
      <c r="H17" s="236"/>
      <c r="I17" s="236"/>
      <c r="J17" s="236"/>
      <c r="K17" s="236"/>
      <c r="L17" s="236"/>
      <c r="M17" s="236"/>
      <c r="N17" s="236"/>
      <c r="O17" s="259"/>
      <c r="P17" s="259"/>
      <c r="Q17" s="235">
        <f>Q18+Q30+Q36</f>
        <v>174.094431265</v>
      </c>
      <c r="R17" s="238"/>
      <c r="S17" s="235">
        <f>S18+S30+S36</f>
        <v>162.72834926499999</v>
      </c>
      <c r="T17" s="128"/>
      <c r="U17" s="239"/>
      <c r="V17" s="239"/>
      <c r="W17" s="379"/>
      <c r="X17" s="599"/>
      <c r="Y17" s="599"/>
      <c r="Z17" s="599"/>
      <c r="AA17" s="599"/>
    </row>
    <row r="18" spans="1:28" ht="60" customHeight="1">
      <c r="A18" s="240" t="s">
        <v>253</v>
      </c>
      <c r="B18" s="195" t="s">
        <v>160</v>
      </c>
      <c r="C18" s="195"/>
      <c r="D18" s="126"/>
      <c r="E18" s="235">
        <f>E24</f>
        <v>40</v>
      </c>
      <c r="F18" s="236"/>
      <c r="G18" s="237">
        <f>G24</f>
        <v>13.353999999999999</v>
      </c>
      <c r="H18" s="236"/>
      <c r="I18" s="236"/>
      <c r="J18" s="236"/>
      <c r="K18" s="236"/>
      <c r="L18" s="236"/>
      <c r="M18" s="236"/>
      <c r="N18" s="236"/>
      <c r="O18" s="259"/>
      <c r="P18" s="259"/>
      <c r="Q18" s="235">
        <f>Q24</f>
        <v>166.21439126499999</v>
      </c>
      <c r="R18" s="238"/>
      <c r="S18" s="235">
        <f>S24</f>
        <v>154.84830926499998</v>
      </c>
      <c r="T18" s="128"/>
      <c r="U18" s="239"/>
      <c r="V18" s="131"/>
      <c r="W18" s="380"/>
      <c r="X18" s="600"/>
      <c r="Y18" s="600"/>
      <c r="Z18" s="600"/>
      <c r="AA18" s="600"/>
    </row>
    <row r="19" spans="1:28" ht="48.75" customHeight="1">
      <c r="A19" s="374" t="str">
        <f>'приложение 1.1 '!A22</f>
        <v>1.1.1.</v>
      </c>
      <c r="B19" s="407" t="str">
        <f>'приложение 1.1 '!B22</f>
        <v>Подстанции 35/6кВ</v>
      </c>
      <c r="C19" s="126"/>
      <c r="D19" s="126"/>
      <c r="E19" s="243"/>
      <c r="F19" s="126"/>
      <c r="G19" s="243"/>
      <c r="H19" s="127"/>
      <c r="I19" s="126"/>
      <c r="J19" s="126"/>
      <c r="K19" s="193"/>
      <c r="L19" s="193"/>
      <c r="M19" s="193"/>
      <c r="N19" s="193"/>
      <c r="O19" s="387"/>
      <c r="P19" s="386"/>
      <c r="Q19" s="261"/>
      <c r="R19" s="128"/>
      <c r="S19" s="128"/>
      <c r="T19" s="128"/>
      <c r="U19" s="129"/>
      <c r="V19" s="131"/>
      <c r="W19" s="378"/>
      <c r="X19" s="597"/>
      <c r="Y19" s="597"/>
      <c r="Z19" s="597"/>
      <c r="AA19" s="597"/>
    </row>
    <row r="20" spans="1:28" ht="131.25" customHeight="1">
      <c r="A20" s="373" t="str">
        <f>'приложение 1.1 '!A23</f>
        <v>1.1.1.1</v>
      </c>
      <c r="B20" s="375" t="str">
        <f>'приложение 1.1 '!B23</f>
        <v>Реконструкция ПС №68 -35/6кВ (Замена тр-ров 1TONb 4000/35/6кВА на 1ТД 10000/35/6кВА; 1ЗРУ-6кВ на 1КРУ-6кВ)</v>
      </c>
      <c r="C20" s="126" t="s">
        <v>486</v>
      </c>
      <c r="D20" s="126" t="s">
        <v>292</v>
      </c>
      <c r="E20" s="243">
        <f>'приложение 1.1 '!E23</f>
        <v>20</v>
      </c>
      <c r="F20" s="126"/>
      <c r="G20" s="243">
        <f>'приложение 1.1 '!D23</f>
        <v>0</v>
      </c>
      <c r="H20" s="127"/>
      <c r="I20" s="126">
        <f>'приложение 1.1 '!F23</f>
        <v>2016</v>
      </c>
      <c r="J20" s="126">
        <f>'приложение 1.1 '!G23</f>
        <v>2018</v>
      </c>
      <c r="K20" s="193" t="s">
        <v>291</v>
      </c>
      <c r="L20" s="193" t="s">
        <v>193</v>
      </c>
      <c r="M20" s="193" t="s">
        <v>192</v>
      </c>
      <c r="N20" s="193" t="s">
        <v>194</v>
      </c>
      <c r="O20" s="386">
        <f>100-(S20*100/Q20)</f>
        <v>13.760389830508487</v>
      </c>
      <c r="P20" s="386">
        <f>O20</f>
        <v>13.760389830508487</v>
      </c>
      <c r="Q20" s="261">
        <f>'приложение 1.1 '!H23</f>
        <v>82.6</v>
      </c>
      <c r="R20" s="128"/>
      <c r="S20" s="128">
        <f>'приложение 1.1 '!I23</f>
        <v>71.233917999999989</v>
      </c>
      <c r="T20" s="128"/>
      <c r="U20" s="130" t="s">
        <v>545</v>
      </c>
      <c r="V20" s="131"/>
      <c r="W20" s="378" t="s">
        <v>613</v>
      </c>
      <c r="X20" s="682">
        <f>14107.295/1000</f>
        <v>14.107295000000001</v>
      </c>
      <c r="Y20" s="686">
        <f>'приложение 2.3'!P79</f>
        <v>1.4917944245447234E-3</v>
      </c>
      <c r="Z20" s="682">
        <f>'приложение 2.3'!F18</f>
        <v>13.941531059959349</v>
      </c>
      <c r="AA20" s="682">
        <f>'приложение 2.3'!F19</f>
        <v>21.526020556668676</v>
      </c>
      <c r="AB20" s="254">
        <v>1</v>
      </c>
    </row>
    <row r="21" spans="1:28" ht="129" customHeight="1">
      <c r="A21" s="374" t="str">
        <f>'приложение 1.1 '!A24</f>
        <v>1.1.1.2</v>
      </c>
      <c r="B21" s="375" t="str">
        <f>'приложение 1.1 '!B24</f>
        <v>Реконструкция ПС №121 -35/6кВ (Замена тр-ров 2TONb 4000/35/6кВА на 2ТД 10000/35/6кВА; 2ЗРУ-6кВ на 2КРУ-6кВ)</v>
      </c>
      <c r="C21" s="126" t="s">
        <v>486</v>
      </c>
      <c r="D21" s="126" t="s">
        <v>292</v>
      </c>
      <c r="E21" s="243">
        <f>'приложение 1.1 '!E24</f>
        <v>20</v>
      </c>
      <c r="F21" s="126"/>
      <c r="G21" s="243">
        <f>'приложение 1.1 '!D24</f>
        <v>0</v>
      </c>
      <c r="H21" s="127"/>
      <c r="I21" s="126">
        <f>'приложение 1.1 '!F24</f>
        <v>2018</v>
      </c>
      <c r="J21" s="126">
        <f>'приложение 1.1 '!G24</f>
        <v>2019</v>
      </c>
      <c r="K21" s="193" t="s">
        <v>291</v>
      </c>
      <c r="L21" s="193" t="s">
        <v>193</v>
      </c>
      <c r="M21" s="193" t="s">
        <v>192</v>
      </c>
      <c r="N21" s="193" t="s">
        <v>194</v>
      </c>
      <c r="O21" s="386">
        <f>100-(S21*100/Q21)</f>
        <v>0</v>
      </c>
      <c r="P21" s="386">
        <f>O21</f>
        <v>0</v>
      </c>
      <c r="Q21" s="261">
        <f>'приложение 1.1 '!H24</f>
        <v>76.977455305000007</v>
      </c>
      <c r="R21" s="128"/>
      <c r="S21" s="128">
        <f>'приложение 1.1 '!I24</f>
        <v>76.977455305000007</v>
      </c>
      <c r="T21" s="128"/>
      <c r="U21" s="130" t="s">
        <v>545</v>
      </c>
      <c r="V21" s="131"/>
      <c r="W21" s="378" t="s">
        <v>613</v>
      </c>
      <c r="X21" s="682">
        <f>'приложение 2.3'!F89/1000000</f>
        <v>26.932540901487517</v>
      </c>
      <c r="Y21" s="686">
        <f>'приложение 2.3'!O148</f>
        <v>5.155644291906003E-2</v>
      </c>
      <c r="Z21" s="682">
        <f>'приложение 2.3'!F87</f>
        <v>10.027335953749795</v>
      </c>
      <c r="AA21" s="682">
        <f>'приложение 2.3'!F88</f>
        <v>16.418204553653862</v>
      </c>
      <c r="AB21" s="254">
        <v>2</v>
      </c>
    </row>
    <row r="22" spans="1:28" ht="37.5" customHeight="1">
      <c r="A22" s="374" t="str">
        <f>'приложение 1.1 '!A25</f>
        <v>1.1.2.</v>
      </c>
      <c r="B22" s="407" t="str">
        <f>'приложение 1.1 '!B25</f>
        <v>Воздушные линии 35/6кВ</v>
      </c>
      <c r="C22" s="126"/>
      <c r="D22" s="126"/>
      <c r="E22" s="243"/>
      <c r="F22" s="126"/>
      <c r="G22" s="243"/>
      <c r="H22" s="127"/>
      <c r="I22" s="126"/>
      <c r="J22" s="126"/>
      <c r="K22" s="193"/>
      <c r="L22" s="193"/>
      <c r="M22" s="193"/>
      <c r="N22" s="193"/>
      <c r="O22" s="386"/>
      <c r="P22" s="386"/>
      <c r="Q22" s="261"/>
      <c r="R22" s="128"/>
      <c r="S22" s="128"/>
      <c r="T22" s="128"/>
      <c r="U22" s="130"/>
      <c r="V22" s="131"/>
      <c r="W22" s="378"/>
      <c r="X22" s="682"/>
      <c r="Y22" s="597"/>
      <c r="Z22" s="597"/>
      <c r="AA22" s="597"/>
    </row>
    <row r="23" spans="1:28" ht="135" customHeight="1">
      <c r="A23" s="374" t="str">
        <f>'приложение 1.1 '!A26</f>
        <v>1.1.2.1</v>
      </c>
      <c r="B23" s="375" t="str">
        <f>'приложение 1.1 '!B26</f>
        <v>Реконструкция ВЛ-35кВ от ВЛ-35 кВ "Восточный-1,2" до ПС 35/6 кВ "121,68"</v>
      </c>
      <c r="C23" s="126" t="s">
        <v>486</v>
      </c>
      <c r="D23" s="126" t="s">
        <v>292</v>
      </c>
      <c r="E23" s="243">
        <f>'приложение 1.1 '!E26</f>
        <v>0</v>
      </c>
      <c r="F23" s="126"/>
      <c r="G23" s="243">
        <f>'приложение 1.1 '!D26</f>
        <v>13.353999999999999</v>
      </c>
      <c r="H23" s="127"/>
      <c r="I23" s="126">
        <f>'приложение 1.1 '!F26</f>
        <v>2019</v>
      </c>
      <c r="J23" s="126">
        <f>'приложение 1.1 '!G26</f>
        <v>2019</v>
      </c>
      <c r="K23" s="193" t="s">
        <v>291</v>
      </c>
      <c r="L23" s="193" t="s">
        <v>193</v>
      </c>
      <c r="M23" s="193" t="s">
        <v>192</v>
      </c>
      <c r="N23" s="193" t="s">
        <v>194</v>
      </c>
      <c r="O23" s="386">
        <f t="shared" ref="O23" si="0">100-(S23*100/Q23)</f>
        <v>0</v>
      </c>
      <c r="P23" s="386">
        <f t="shared" ref="P23" si="1">O23</f>
        <v>0</v>
      </c>
      <c r="Q23" s="261">
        <f>'приложение 1.1 '!H26</f>
        <v>6.6369359599999997</v>
      </c>
      <c r="R23" s="128"/>
      <c r="S23" s="128">
        <f>'приложение 1.1 '!I26</f>
        <v>6.6369359599999997</v>
      </c>
      <c r="T23" s="128"/>
      <c r="U23" s="130" t="s">
        <v>551</v>
      </c>
      <c r="V23" s="131"/>
      <c r="W23" s="378" t="s">
        <v>613</v>
      </c>
      <c r="X23" s="682">
        <f>'приложение 2.3'!F158/1000000</f>
        <v>2.3440527582052333</v>
      </c>
      <c r="Y23" s="686">
        <f>'приложение 2.3'!K217</f>
        <v>5.8712895893113792E-3</v>
      </c>
      <c r="Z23" s="682">
        <f>'приложение 2.3'!F156</f>
        <v>8.7394802544668924</v>
      </c>
      <c r="AA23" s="682">
        <f>'приложение 2.3'!F157</f>
        <v>15.07072863238534</v>
      </c>
      <c r="AB23" s="254">
        <v>3</v>
      </c>
    </row>
    <row r="24" spans="1:28">
      <c r="A24" s="242"/>
      <c r="B24" s="244" t="s">
        <v>293</v>
      </c>
      <c r="C24" s="262"/>
      <c r="D24" s="263"/>
      <c r="E24" s="245">
        <f>SUM(E19:E23)</f>
        <v>40</v>
      </c>
      <c r="F24" s="376"/>
      <c r="G24" s="245">
        <f>SUM(G19:G23)</f>
        <v>13.353999999999999</v>
      </c>
      <c r="H24" s="196"/>
      <c r="I24" s="126"/>
      <c r="J24" s="126"/>
      <c r="K24" s="263"/>
      <c r="L24" s="263"/>
      <c r="M24" s="263"/>
      <c r="N24" s="126"/>
      <c r="O24" s="389"/>
      <c r="P24" s="383"/>
      <c r="Q24" s="245">
        <f>SUM(Q19:Q23)</f>
        <v>166.21439126499999</v>
      </c>
      <c r="R24" s="245">
        <f t="shared" ref="R24:T24" si="2">SUM(R19:R23)</f>
        <v>0</v>
      </c>
      <c r="S24" s="245">
        <f t="shared" si="2"/>
        <v>154.84830926499998</v>
      </c>
      <c r="T24" s="245">
        <f t="shared" si="2"/>
        <v>0</v>
      </c>
      <c r="U24" s="264"/>
      <c r="V24" s="264"/>
      <c r="W24" s="378" t="s">
        <v>290</v>
      </c>
      <c r="X24" s="683"/>
      <c r="Y24" s="600"/>
      <c r="Z24" s="600"/>
      <c r="AA24" s="600"/>
    </row>
    <row r="25" spans="1:28">
      <c r="A25" s="242"/>
      <c r="B25" s="163"/>
      <c r="C25" s="126"/>
      <c r="D25" s="126"/>
      <c r="E25" s="243"/>
      <c r="F25" s="126"/>
      <c r="G25" s="243"/>
      <c r="H25" s="127"/>
      <c r="I25" s="126"/>
      <c r="J25" s="126"/>
      <c r="K25" s="126"/>
      <c r="L25" s="126"/>
      <c r="M25" s="126"/>
      <c r="N25" s="126"/>
      <c r="O25" s="387"/>
      <c r="P25" s="388"/>
      <c r="Q25" s="245"/>
      <c r="R25" s="128"/>
      <c r="S25" s="128"/>
      <c r="T25" s="128"/>
      <c r="U25" s="130"/>
      <c r="V25" s="131"/>
      <c r="W25" s="381"/>
      <c r="X25" s="682"/>
      <c r="Y25" s="597"/>
      <c r="Z25" s="597"/>
      <c r="AA25" s="597"/>
    </row>
    <row r="26" spans="1:28">
      <c r="A26" s="246" t="s">
        <v>254</v>
      </c>
      <c r="B26" s="247" t="s">
        <v>219</v>
      </c>
      <c r="C26" s="126"/>
      <c r="D26" s="126"/>
      <c r="E26" s="243"/>
      <c r="F26" s="126"/>
      <c r="G26" s="243"/>
      <c r="H26" s="127"/>
      <c r="I26" s="126">
        <f>'приложение 1.1 '!F29</f>
        <v>2018</v>
      </c>
      <c r="J26" s="126">
        <v>2018</v>
      </c>
      <c r="K26" s="126"/>
      <c r="L26" s="126"/>
      <c r="M26" s="126"/>
      <c r="N26" s="126"/>
      <c r="O26" s="387"/>
      <c r="P26" s="388"/>
      <c r="Q26" s="243"/>
      <c r="R26" s="128"/>
      <c r="S26" s="128"/>
      <c r="T26" s="128"/>
      <c r="U26" s="130"/>
      <c r="V26" s="131"/>
      <c r="W26" s="381"/>
      <c r="X26" s="683"/>
      <c r="Y26" s="600"/>
      <c r="Z26" s="600"/>
      <c r="AA26" s="600"/>
    </row>
    <row r="27" spans="1:28" ht="114" customHeight="1">
      <c r="A27" s="373" t="str">
        <f>'приложение 1.1 '!A29</f>
        <v>1.2.1.</v>
      </c>
      <c r="B27" s="373" t="str">
        <f>'приложение 1.1 '!B29</f>
        <v>Монтаж системы телемеханики на ПС №68 -35/6кВ</v>
      </c>
      <c r="C27" s="126" t="s">
        <v>486</v>
      </c>
      <c r="D27" s="126" t="s">
        <v>292</v>
      </c>
      <c r="E27" s="243"/>
      <c r="F27" s="126"/>
      <c r="G27" s="243"/>
      <c r="H27" s="127"/>
      <c r="I27" s="126">
        <f>'приложение 1.1 '!F29</f>
        <v>2018</v>
      </c>
      <c r="J27" s="126">
        <f>'приложение 1.1 '!G29</f>
        <v>2019</v>
      </c>
      <c r="K27" s="193" t="s">
        <v>192</v>
      </c>
      <c r="L27" s="193" t="s">
        <v>194</v>
      </c>
      <c r="M27" s="193" t="s">
        <v>194</v>
      </c>
      <c r="N27" s="193" t="s">
        <v>194</v>
      </c>
      <c r="O27" s="386">
        <f t="shared" ref="O27" si="3">100-(S27*100/Q27)</f>
        <v>0</v>
      </c>
      <c r="P27" s="386">
        <f t="shared" ref="P27" si="4">O27</f>
        <v>0</v>
      </c>
      <c r="Q27" s="261">
        <f>'приложение 1.1 '!H29</f>
        <v>3.1824600000000003</v>
      </c>
      <c r="R27" s="128"/>
      <c r="S27" s="128">
        <f>'приложение 1.1 '!I29</f>
        <v>3.1824600000000003</v>
      </c>
      <c r="T27" s="128"/>
      <c r="U27" s="129" t="s">
        <v>556</v>
      </c>
      <c r="V27" s="131"/>
      <c r="W27" s="378" t="s">
        <v>613</v>
      </c>
      <c r="X27" s="682">
        <f>'приложение 2.3'!F227/1000000</f>
        <v>1.1535804409795538</v>
      </c>
      <c r="Y27" s="686">
        <f>'приложение 2.3'!K286</f>
        <v>5.7144771520738491E-3</v>
      </c>
      <c r="Z27" s="682">
        <f>'приложение 2.3'!F225</f>
        <v>8.7464482546735827</v>
      </c>
      <c r="AA27" s="682">
        <f>'приложение 2.3'!F226</f>
        <v>15.084459009351715</v>
      </c>
      <c r="AB27" s="254">
        <v>4</v>
      </c>
    </row>
    <row r="28" spans="1:28" ht="114" customHeight="1">
      <c r="A28" s="373" t="str">
        <f>'приложение 1.1 '!A30</f>
        <v>1.2.2.</v>
      </c>
      <c r="B28" s="373" t="str">
        <f>'приложение 1.1 '!B30</f>
        <v>Монтаж системы телемеханики на ПС №121-35/6кВ</v>
      </c>
      <c r="C28" s="126" t="s">
        <v>486</v>
      </c>
      <c r="D28" s="126" t="s">
        <v>292</v>
      </c>
      <c r="E28" s="243"/>
      <c r="F28" s="126"/>
      <c r="G28" s="243"/>
      <c r="H28" s="127"/>
      <c r="I28" s="126">
        <f>'приложение 1.1 '!F30</f>
        <v>2018</v>
      </c>
      <c r="J28" s="126">
        <f>'приложение 1.1 '!G30</f>
        <v>2020</v>
      </c>
      <c r="K28" s="193" t="s">
        <v>192</v>
      </c>
      <c r="L28" s="193" t="s">
        <v>194</v>
      </c>
      <c r="M28" s="193" t="s">
        <v>194</v>
      </c>
      <c r="N28" s="193" t="s">
        <v>194</v>
      </c>
      <c r="O28" s="386">
        <f t="shared" ref="O28" si="5">100-(S28*100/Q28)</f>
        <v>0</v>
      </c>
      <c r="P28" s="386">
        <f t="shared" ref="P28" si="6">O28</f>
        <v>0</v>
      </c>
      <c r="Q28" s="261">
        <f>'приложение 1.1 '!H30</f>
        <v>3.1824600000000003</v>
      </c>
      <c r="R28" s="128"/>
      <c r="S28" s="128">
        <f>'приложение 1.1 '!I30</f>
        <v>3.1824600000000003</v>
      </c>
      <c r="T28" s="128"/>
      <c r="U28" s="129" t="s">
        <v>556</v>
      </c>
      <c r="V28" s="131"/>
      <c r="W28" s="378" t="s">
        <v>613</v>
      </c>
      <c r="X28" s="682">
        <f>'приложение 2.3'!F298/1000000</f>
        <v>1.1584452994831274</v>
      </c>
      <c r="Y28" s="686">
        <f>'приложение 2.3'!K357</f>
        <v>5.7482806095876526E-3</v>
      </c>
      <c r="Z28" s="682">
        <f>'приложение 2.3'!F296</f>
        <v>8.7442621793619928</v>
      </c>
      <c r="AA28" s="681">
        <f>'приложение 2.3'!F297</f>
        <v>15.097798420650648</v>
      </c>
      <c r="AB28" s="254">
        <v>5</v>
      </c>
    </row>
    <row r="29" spans="1:28">
      <c r="A29" s="242"/>
      <c r="B29" s="163" t="s">
        <v>441</v>
      </c>
      <c r="C29" s="126"/>
      <c r="D29" s="126"/>
      <c r="E29" s="243"/>
      <c r="F29" s="126"/>
      <c r="G29" s="243"/>
      <c r="H29" s="127"/>
      <c r="I29" s="126"/>
      <c r="J29" s="126"/>
      <c r="K29" s="126"/>
      <c r="L29" s="126"/>
      <c r="M29" s="126"/>
      <c r="N29" s="126"/>
      <c r="O29" s="387"/>
      <c r="P29" s="388"/>
      <c r="Q29" s="243">
        <v>0</v>
      </c>
      <c r="R29" s="128"/>
      <c r="S29" s="128"/>
      <c r="T29" s="128"/>
      <c r="U29" s="130"/>
      <c r="V29" s="131"/>
      <c r="W29" s="381"/>
      <c r="X29" s="682"/>
      <c r="Y29" s="597"/>
      <c r="Z29" s="597"/>
      <c r="AA29" s="597"/>
    </row>
    <row r="30" spans="1:28">
      <c r="A30" s="242"/>
      <c r="B30" s="244" t="s">
        <v>218</v>
      </c>
      <c r="C30" s="262"/>
      <c r="D30" s="263"/>
      <c r="E30" s="243"/>
      <c r="F30" s="196"/>
      <c r="G30" s="243"/>
      <c r="H30" s="196"/>
      <c r="I30" s="129"/>
      <c r="J30" s="129"/>
      <c r="K30" s="263"/>
      <c r="L30" s="263"/>
      <c r="M30" s="263"/>
      <c r="N30" s="263"/>
      <c r="O30" s="389"/>
      <c r="P30" s="383"/>
      <c r="Q30" s="245">
        <f>SUM(Q27:Q29)</f>
        <v>6.3649200000000006</v>
      </c>
      <c r="R30" s="265"/>
      <c r="S30" s="245">
        <f>SUM(S27:S29)</f>
        <v>6.3649200000000006</v>
      </c>
      <c r="T30" s="245">
        <f>SUM(T27:T29)</f>
        <v>0</v>
      </c>
      <c r="U30" s="264"/>
      <c r="V30" s="264"/>
      <c r="W30" s="382"/>
      <c r="X30" s="683"/>
      <c r="Y30" s="600"/>
      <c r="Z30" s="600"/>
      <c r="AA30" s="600"/>
    </row>
    <row r="31" spans="1:28">
      <c r="A31" s="242"/>
      <c r="B31" s="163"/>
      <c r="C31" s="126"/>
      <c r="D31" s="126"/>
      <c r="E31" s="243"/>
      <c r="F31" s="126"/>
      <c r="G31" s="243"/>
      <c r="H31" s="127"/>
      <c r="I31" s="126"/>
      <c r="J31" s="126"/>
      <c r="K31" s="126"/>
      <c r="L31" s="126"/>
      <c r="M31" s="126"/>
      <c r="N31" s="126"/>
      <c r="O31" s="387"/>
      <c r="P31" s="388"/>
      <c r="Q31" s="243">
        <v>0</v>
      </c>
      <c r="R31" s="128"/>
      <c r="S31" s="128"/>
      <c r="T31" s="128"/>
      <c r="U31" s="130"/>
      <c r="V31" s="131"/>
      <c r="W31" s="381"/>
      <c r="X31" s="682"/>
      <c r="Y31" s="597"/>
      <c r="Z31" s="597"/>
      <c r="AA31" s="597"/>
    </row>
    <row r="32" spans="1:28" ht="48.75" customHeight="1">
      <c r="A32" s="246" t="str">
        <f>'приложение 1.1 '!A32</f>
        <v>1.3.</v>
      </c>
      <c r="B32" s="506" t="str">
        <f>'приложение 1.1 '!B32</f>
        <v>Монтаж системы АИИС КУЭ ПС; РП; ТП; КТПН</v>
      </c>
      <c r="C32" s="126"/>
      <c r="D32" s="126"/>
      <c r="E32" s="243"/>
      <c r="F32" s="126"/>
      <c r="G32" s="243"/>
      <c r="H32" s="127"/>
      <c r="I32" s="129"/>
      <c r="J32" s="129"/>
      <c r="K32" s="126"/>
      <c r="L32" s="126"/>
      <c r="M32" s="126"/>
      <c r="N32" s="126"/>
      <c r="O32" s="387"/>
      <c r="P32" s="388"/>
      <c r="Q32" s="243">
        <v>0</v>
      </c>
      <c r="R32" s="128"/>
      <c r="S32" s="128"/>
      <c r="T32" s="128"/>
      <c r="U32" s="130"/>
      <c r="V32" s="131"/>
      <c r="W32" s="381"/>
      <c r="X32" s="684"/>
      <c r="Y32" s="241"/>
      <c r="Z32" s="241"/>
      <c r="AA32" s="241"/>
    </row>
    <row r="33" spans="1:28" ht="128.25" customHeight="1">
      <c r="A33" s="504" t="str">
        <f>'приложение 1.1 '!A33</f>
        <v>1.3.1.</v>
      </c>
      <c r="B33" s="505" t="str">
        <f>'приложение 1.1 '!B33</f>
        <v>Монтаж системы АИИС КУЭ на ПС №68 -35/6кВ</v>
      </c>
      <c r="C33" s="126" t="s">
        <v>486</v>
      </c>
      <c r="D33" s="126" t="s">
        <v>292</v>
      </c>
      <c r="E33" s="243"/>
      <c r="F33" s="126"/>
      <c r="G33" s="243"/>
      <c r="H33" s="127"/>
      <c r="I33" s="126">
        <f>'приложение 1.1 '!F33</f>
        <v>2018</v>
      </c>
      <c r="J33" s="126">
        <f>'приложение 1.1 '!G33</f>
        <v>2018</v>
      </c>
      <c r="K33" s="193" t="s">
        <v>192</v>
      </c>
      <c r="L33" s="193" t="s">
        <v>194</v>
      </c>
      <c r="M33" s="193" t="s">
        <v>194</v>
      </c>
      <c r="N33" s="126"/>
      <c r="O33" s="386">
        <f t="shared" ref="O33" si="7">100-(S33*100/Q33)</f>
        <v>0</v>
      </c>
      <c r="P33" s="386">
        <f t="shared" ref="P33" si="8">O33</f>
        <v>0</v>
      </c>
      <c r="Q33" s="261">
        <f>'приложение 1.1 '!H33</f>
        <v>0.7575599999999999</v>
      </c>
      <c r="R33" s="128"/>
      <c r="S33" s="128">
        <f>'приложение 1.1 '!I33</f>
        <v>0.7575599999999999</v>
      </c>
      <c r="T33" s="128"/>
      <c r="U33" s="129" t="s">
        <v>561</v>
      </c>
      <c r="V33" s="131"/>
      <c r="W33" s="378" t="s">
        <v>613</v>
      </c>
      <c r="X33" s="685">
        <f>'приложение 2.3'!F368/1000000</f>
        <v>0.27121821492088033</v>
      </c>
      <c r="Y33" s="687">
        <f>'приложение 2.3'!K427</f>
        <v>6.0342112802940218E-3</v>
      </c>
      <c r="Z33" s="685">
        <f>'приложение 2.3'!F366</f>
        <v>8.7336248110273367</v>
      </c>
      <c r="AA33" s="685">
        <f>'приложение 2.3'!F367</f>
        <v>15.030861487978072</v>
      </c>
      <c r="AB33" s="254">
        <v>6</v>
      </c>
    </row>
    <row r="34" spans="1:28" ht="128.25" customHeight="1">
      <c r="A34" s="504" t="str">
        <f>'приложение 1.1 '!A34</f>
        <v>1.3.2.</v>
      </c>
      <c r="B34" s="505" t="str">
        <f>'приложение 1.1 '!B34</f>
        <v>Монтаж системы АИИС КУЭ на ПС №121 -35/6кВ</v>
      </c>
      <c r="C34" s="126" t="s">
        <v>486</v>
      </c>
      <c r="D34" s="126" t="s">
        <v>292</v>
      </c>
      <c r="E34" s="243"/>
      <c r="F34" s="126"/>
      <c r="G34" s="243"/>
      <c r="H34" s="127"/>
      <c r="I34" s="126">
        <f>'приложение 1.1 '!F34</f>
        <v>2019</v>
      </c>
      <c r="J34" s="126">
        <f>'приложение 1.1 '!G34</f>
        <v>2019</v>
      </c>
      <c r="K34" s="193" t="s">
        <v>192</v>
      </c>
      <c r="L34" s="193" t="s">
        <v>194</v>
      </c>
      <c r="M34" s="193" t="s">
        <v>194</v>
      </c>
      <c r="N34" s="126"/>
      <c r="O34" s="386">
        <f t="shared" ref="O34" si="9">100-(S34*100/Q34)</f>
        <v>0</v>
      </c>
      <c r="P34" s="386">
        <f t="shared" ref="P34" si="10">O34</f>
        <v>0</v>
      </c>
      <c r="Q34" s="261">
        <f>'приложение 1.1 '!H34</f>
        <v>0.7575599999999999</v>
      </c>
      <c r="R34" s="128"/>
      <c r="S34" s="128">
        <f>'приложение 1.1 '!I34</f>
        <v>0.7575599999999999</v>
      </c>
      <c r="T34" s="128"/>
      <c r="U34" s="129" t="s">
        <v>561</v>
      </c>
      <c r="V34" s="131"/>
      <c r="W34" s="378" t="s">
        <v>613</v>
      </c>
      <c r="X34" s="685">
        <f>'приложение 2.3'!F438/1000000</f>
        <v>7.0985080884569146E-2</v>
      </c>
      <c r="Y34" s="687">
        <f>'приложение 2.3'!M497</f>
        <v>2.8358171235949303E-3</v>
      </c>
      <c r="Z34" s="685">
        <f>'приложение 2.3'!F436</f>
        <v>10.82455383332157</v>
      </c>
      <c r="AA34" s="685">
        <f>'приложение 2.3'!F437</f>
        <v>21.756918494819367</v>
      </c>
      <c r="AB34" s="254">
        <v>7</v>
      </c>
    </row>
    <row r="35" spans="1:28">
      <c r="A35" s="242"/>
      <c r="B35" s="163" t="s">
        <v>441</v>
      </c>
      <c r="C35" s="126"/>
      <c r="D35" s="126"/>
      <c r="E35" s="243"/>
      <c r="F35" s="126"/>
      <c r="G35" s="243"/>
      <c r="H35" s="127"/>
      <c r="I35" s="126"/>
      <c r="J35" s="126"/>
      <c r="K35" s="126"/>
      <c r="L35" s="126"/>
      <c r="M35" s="126"/>
      <c r="N35" s="126"/>
      <c r="O35" s="387"/>
      <c r="P35" s="388"/>
      <c r="Q35" s="243">
        <v>0</v>
      </c>
      <c r="R35" s="128"/>
      <c r="S35" s="128"/>
      <c r="T35" s="128"/>
      <c r="U35" s="130"/>
      <c r="V35" s="131"/>
      <c r="W35" s="381"/>
      <c r="X35" s="132"/>
      <c r="Y35" s="132"/>
      <c r="Z35" s="132"/>
      <c r="AA35" s="132"/>
    </row>
    <row r="36" spans="1:28" ht="27.75" customHeight="1">
      <c r="A36" s="242"/>
      <c r="B36" s="244" t="s">
        <v>220</v>
      </c>
      <c r="C36" s="262"/>
      <c r="D36" s="263"/>
      <c r="E36" s="243"/>
      <c r="F36" s="196"/>
      <c r="G36" s="243"/>
      <c r="H36" s="196"/>
      <c r="I36" s="129"/>
      <c r="J36" s="129"/>
      <c r="K36" s="263"/>
      <c r="L36" s="263"/>
      <c r="M36" s="263"/>
      <c r="N36" s="263"/>
      <c r="O36" s="389"/>
      <c r="P36" s="383"/>
      <c r="Q36" s="245">
        <f>SUM(Q33:Q35)</f>
        <v>1.5151199999999998</v>
      </c>
      <c r="R36" s="245">
        <f>SUM(R33:R35)</f>
        <v>0</v>
      </c>
      <c r="S36" s="245">
        <f>SUM(S33:S35)</f>
        <v>1.5151199999999998</v>
      </c>
      <c r="T36" s="245">
        <f>SUM(T33:T35)</f>
        <v>0</v>
      </c>
      <c r="U36" s="264"/>
      <c r="V36" s="264"/>
      <c r="W36" s="382"/>
      <c r="X36" s="241"/>
      <c r="Y36" s="241"/>
      <c r="Z36" s="241"/>
      <c r="AA36" s="241"/>
    </row>
    <row r="37" spans="1:28">
      <c r="A37" s="242"/>
      <c r="B37" s="163"/>
      <c r="C37" s="126"/>
      <c r="D37" s="126"/>
      <c r="E37" s="243"/>
      <c r="F37" s="126"/>
      <c r="G37" s="243"/>
      <c r="H37" s="127"/>
      <c r="I37" s="126"/>
      <c r="J37" s="126"/>
      <c r="K37" s="126"/>
      <c r="L37" s="126"/>
      <c r="M37" s="126"/>
      <c r="N37" s="126"/>
      <c r="O37" s="389"/>
      <c r="P37" s="388"/>
      <c r="Q37" s="243">
        <v>0</v>
      </c>
      <c r="R37" s="128"/>
      <c r="S37" s="128"/>
      <c r="T37" s="128"/>
      <c r="U37" s="130"/>
      <c r="V37" s="131"/>
      <c r="W37" s="381"/>
      <c r="X37" s="132"/>
      <c r="Y37" s="132"/>
      <c r="Z37" s="132"/>
      <c r="AA37" s="132"/>
    </row>
    <row r="38" spans="1:28" ht="36.75" hidden="1" customHeight="1" outlineLevel="1">
      <c r="A38" s="248">
        <v>2</v>
      </c>
      <c r="B38" s="161" t="s">
        <v>89</v>
      </c>
      <c r="C38" s="126"/>
      <c r="D38" s="126"/>
      <c r="E38" s="249">
        <f>E41</f>
        <v>0</v>
      </c>
      <c r="F38" s="249"/>
      <c r="G38" s="249">
        <f>G41</f>
        <v>0</v>
      </c>
      <c r="H38" s="127"/>
      <c r="I38" s="250"/>
      <c r="J38" s="250"/>
      <c r="K38" s="126"/>
      <c r="L38" s="126"/>
      <c r="M38" s="126"/>
      <c r="N38" s="126"/>
      <c r="O38" s="389"/>
      <c r="P38" s="388"/>
      <c r="Q38" s="267">
        <f>Q41</f>
        <v>0</v>
      </c>
      <c r="R38" s="235"/>
      <c r="S38" s="267">
        <f>S41</f>
        <v>0</v>
      </c>
      <c r="T38" s="128">
        <f>SUM(T39:T40)</f>
        <v>0</v>
      </c>
      <c r="U38" s="130"/>
      <c r="V38" s="131"/>
      <c r="W38" s="381"/>
      <c r="X38" s="241"/>
      <c r="Y38" s="241"/>
      <c r="Z38" s="241"/>
      <c r="AA38" s="241"/>
    </row>
    <row r="39" spans="1:28" ht="49.5" hidden="1" customHeight="1" outlineLevel="1">
      <c r="A39" s="248" t="s">
        <v>256</v>
      </c>
      <c r="B39" s="247" t="s">
        <v>160</v>
      </c>
      <c r="C39" s="126"/>
      <c r="D39" s="126"/>
      <c r="E39" s="243"/>
      <c r="F39" s="126"/>
      <c r="G39" s="243"/>
      <c r="H39" s="127"/>
      <c r="I39" s="129"/>
      <c r="J39" s="129"/>
      <c r="K39" s="126"/>
      <c r="L39" s="126"/>
      <c r="M39" s="126"/>
      <c r="N39" s="126"/>
      <c r="O39" s="387"/>
      <c r="P39" s="388"/>
      <c r="Q39" s="261">
        <v>0</v>
      </c>
      <c r="R39" s="128"/>
      <c r="S39" s="128"/>
      <c r="T39" s="128"/>
      <c r="U39" s="130"/>
      <c r="V39" s="131"/>
      <c r="W39" s="381"/>
      <c r="X39" s="241"/>
      <c r="Y39" s="241"/>
      <c r="Z39" s="241"/>
      <c r="AA39" s="241"/>
    </row>
    <row r="40" spans="1:28" ht="39" hidden="1" customHeight="1" outlineLevel="1">
      <c r="A40" s="377" t="str">
        <f>'приложение 1.1 '!A38</f>
        <v>2.1.1.</v>
      </c>
      <c r="B40" s="247" t="str">
        <f>'приложение 1.1 '!B38</f>
        <v>Подстанции 35/ 6/10кВ</v>
      </c>
      <c r="C40" s="126"/>
      <c r="D40" s="126"/>
      <c r="E40" s="243"/>
      <c r="F40" s="126"/>
      <c r="G40" s="243"/>
      <c r="H40" s="127"/>
      <c r="I40" s="126"/>
      <c r="J40" s="126"/>
      <c r="K40" s="193"/>
      <c r="L40" s="193"/>
      <c r="M40" s="193"/>
      <c r="N40" s="193"/>
      <c r="O40" s="386"/>
      <c r="P40" s="386"/>
      <c r="Q40" s="261"/>
      <c r="R40" s="128"/>
      <c r="S40" s="128"/>
      <c r="T40" s="128"/>
      <c r="U40" s="130"/>
      <c r="V40" s="131"/>
      <c r="W40" s="378"/>
      <c r="X40" s="132"/>
      <c r="Y40" s="132"/>
      <c r="Z40" s="132"/>
      <c r="AA40" s="132"/>
    </row>
    <row r="41" spans="1:28" ht="34.5" hidden="1" customHeight="1" outlineLevel="1">
      <c r="A41" s="126"/>
      <c r="B41" s="262" t="s">
        <v>294</v>
      </c>
      <c r="C41" s="262"/>
      <c r="D41" s="262"/>
      <c r="E41" s="251">
        <f>SUM(E40:E40)</f>
        <v>0</v>
      </c>
      <c r="F41" s="251"/>
      <c r="G41" s="251">
        <f>SUM(G40:G40)</f>
        <v>0</v>
      </c>
      <c r="H41" s="363"/>
      <c r="I41" s="262"/>
      <c r="J41" s="262"/>
      <c r="K41" s="263"/>
      <c r="L41" s="263"/>
      <c r="M41" s="263"/>
      <c r="N41" s="263"/>
      <c r="O41" s="263"/>
      <c r="P41" s="383"/>
      <c r="Q41" s="267">
        <f>SUM(Q40:Q40)</f>
        <v>0</v>
      </c>
      <c r="R41" s="265"/>
      <c r="S41" s="267">
        <f>SUM(S40:S40)</f>
        <v>0</v>
      </c>
      <c r="T41" s="266">
        <f>SUM(T39:T40)</f>
        <v>0</v>
      </c>
      <c r="U41" s="264"/>
      <c r="V41" s="264"/>
      <c r="W41" s="129"/>
      <c r="X41" s="241"/>
      <c r="Y41" s="241"/>
      <c r="Z41" s="241"/>
      <c r="AA41" s="241"/>
    </row>
    <row r="42" spans="1:28" collapsed="1">
      <c r="E42" s="268"/>
      <c r="G42" s="269"/>
      <c r="P42" s="384"/>
    </row>
    <row r="43" spans="1:28" ht="15" customHeight="1">
      <c r="P43" s="384"/>
    </row>
    <row r="44" spans="1:28">
      <c r="P44" s="384"/>
    </row>
    <row r="45" spans="1:28">
      <c r="P45" s="384"/>
    </row>
    <row r="46" spans="1:28">
      <c r="P46" s="384"/>
    </row>
    <row r="47" spans="1:28">
      <c r="P47" s="384"/>
    </row>
    <row r="48" spans="1:28">
      <c r="P48" s="384"/>
    </row>
    <row r="49" spans="16:16">
      <c r="P49" s="384"/>
    </row>
    <row r="50" spans="16:16">
      <c r="P50" s="384"/>
    </row>
    <row r="51" spans="16:16">
      <c r="P51" s="384"/>
    </row>
    <row r="52" spans="16:16">
      <c r="P52" s="384"/>
    </row>
    <row r="53" spans="16:16">
      <c r="P53" s="384"/>
    </row>
    <row r="54" spans="16:16">
      <c r="P54" s="384"/>
    </row>
    <row r="55" spans="16:16">
      <c r="P55" s="384"/>
    </row>
    <row r="56" spans="16:16">
      <c r="P56" s="384"/>
    </row>
    <row r="57" spans="16:16">
      <c r="P57" s="384"/>
    </row>
    <row r="58" spans="16:16">
      <c r="P58" s="384"/>
    </row>
    <row r="59" spans="16:16">
      <c r="P59" s="384"/>
    </row>
    <row r="60" spans="16:16">
      <c r="P60" s="384"/>
    </row>
    <row r="61" spans="16:16">
      <c r="P61" s="384"/>
    </row>
    <row r="62" spans="16:16">
      <c r="P62" s="384"/>
    </row>
    <row r="63" spans="16:16">
      <c r="P63" s="384"/>
    </row>
    <row r="64" spans="16:16">
      <c r="P64" s="384"/>
    </row>
    <row r="65" spans="16:16">
      <c r="P65" s="384"/>
    </row>
    <row r="66" spans="16:16">
      <c r="P66" s="384"/>
    </row>
    <row r="67" spans="16:16">
      <c r="P67" s="384"/>
    </row>
    <row r="68" spans="16:16">
      <c r="P68" s="384"/>
    </row>
    <row r="69" spans="16:16">
      <c r="P69" s="384"/>
    </row>
    <row r="70" spans="16:16">
      <c r="P70" s="384"/>
    </row>
    <row r="71" spans="16:16">
      <c r="P71" s="384"/>
    </row>
    <row r="72" spans="16:16">
      <c r="P72" s="384"/>
    </row>
    <row r="73" spans="16:16">
      <c r="P73" s="384"/>
    </row>
    <row r="74" spans="16:16">
      <c r="P74" s="384"/>
    </row>
    <row r="75" spans="16:16">
      <c r="P75" s="384"/>
    </row>
    <row r="76" spans="16:16">
      <c r="P76" s="384"/>
    </row>
    <row r="77" spans="16:16">
      <c r="P77" s="384"/>
    </row>
    <row r="78" spans="16:16">
      <c r="P78" s="384"/>
    </row>
    <row r="79" spans="16:16">
      <c r="P79" s="384"/>
    </row>
    <row r="80" spans="16:16">
      <c r="P80" s="384"/>
    </row>
    <row r="81" spans="16:16">
      <c r="P81" s="384"/>
    </row>
    <row r="82" spans="16:16">
      <c r="P82" s="384"/>
    </row>
    <row r="83" spans="16:16">
      <c r="P83" s="384"/>
    </row>
    <row r="84" spans="16:16">
      <c r="P84" s="384"/>
    </row>
    <row r="85" spans="16:16">
      <c r="P85" s="384"/>
    </row>
    <row r="86" spans="16:16">
      <c r="P86" s="384"/>
    </row>
    <row r="87" spans="16:16">
      <c r="P87" s="384"/>
    </row>
    <row r="88" spans="16:16">
      <c r="P88" s="384"/>
    </row>
    <row r="89" spans="16:16">
      <c r="P89" s="384"/>
    </row>
    <row r="90" spans="16:16">
      <c r="P90" s="384"/>
    </row>
    <row r="91" spans="16:16">
      <c r="P91" s="384"/>
    </row>
    <row r="92" spans="16:16">
      <c r="P92" s="384"/>
    </row>
    <row r="93" spans="16:16">
      <c r="P93" s="384"/>
    </row>
    <row r="94" spans="16:16">
      <c r="P94" s="384"/>
    </row>
    <row r="95" spans="16:16">
      <c r="P95" s="384"/>
    </row>
    <row r="96" spans="16:16">
      <c r="P96" s="384"/>
    </row>
    <row r="97" spans="16:16">
      <c r="P97" s="384"/>
    </row>
    <row r="98" spans="16:16">
      <c r="P98" s="384"/>
    </row>
    <row r="99" spans="16:16">
      <c r="P99" s="384"/>
    </row>
    <row r="100" spans="16:16">
      <c r="P100" s="384"/>
    </row>
    <row r="101" spans="16:16">
      <c r="P101" s="384"/>
    </row>
    <row r="102" spans="16:16">
      <c r="P102" s="384"/>
    </row>
    <row r="103" spans="16:16">
      <c r="P103" s="384"/>
    </row>
    <row r="104" spans="16:16">
      <c r="P104" s="384"/>
    </row>
    <row r="105" spans="16:16">
      <c r="P105" s="384"/>
    </row>
    <row r="106" spans="16:16">
      <c r="P106" s="384"/>
    </row>
    <row r="107" spans="16:16">
      <c r="P107" s="384"/>
    </row>
    <row r="108" spans="16:16">
      <c r="P108" s="384"/>
    </row>
    <row r="109" spans="16:16">
      <c r="P109" s="384"/>
    </row>
    <row r="110" spans="16:16">
      <c r="P110" s="384"/>
    </row>
    <row r="111" spans="16:16">
      <c r="P111" s="384"/>
    </row>
    <row r="112" spans="16:16">
      <c r="P112" s="384"/>
    </row>
    <row r="113" spans="16:16">
      <c r="P113" s="384"/>
    </row>
    <row r="114" spans="16:16">
      <c r="P114" s="384"/>
    </row>
    <row r="115" spans="16:16">
      <c r="P115" s="384"/>
    </row>
    <row r="116" spans="16:16">
      <c r="P116" s="384"/>
    </row>
    <row r="117" spans="16:16">
      <c r="P117" s="384"/>
    </row>
    <row r="118" spans="16:16">
      <c r="P118" s="384"/>
    </row>
    <row r="119" spans="16:16">
      <c r="P119" s="384"/>
    </row>
    <row r="120" spans="16:16">
      <c r="P120" s="384"/>
    </row>
    <row r="121" spans="16:16">
      <c r="P121" s="384"/>
    </row>
    <row r="122" spans="16:16">
      <c r="P122" s="384"/>
    </row>
    <row r="123" spans="16:16">
      <c r="P123" s="384"/>
    </row>
    <row r="124" spans="16:16">
      <c r="P124" s="384"/>
    </row>
    <row r="125" spans="16:16">
      <c r="P125" s="384"/>
    </row>
    <row r="126" spans="16:16">
      <c r="P126" s="384"/>
    </row>
    <row r="127" spans="16:16">
      <c r="P127" s="384"/>
    </row>
    <row r="128" spans="16:16">
      <c r="P128" s="384"/>
    </row>
    <row r="129" spans="16:16">
      <c r="P129" s="384"/>
    </row>
    <row r="130" spans="16:16">
      <c r="P130" s="384"/>
    </row>
    <row r="131" spans="16:16">
      <c r="P131" s="384"/>
    </row>
    <row r="132" spans="16:16">
      <c r="P132" s="384"/>
    </row>
    <row r="133" spans="16:16">
      <c r="P133" s="384"/>
    </row>
  </sheetData>
  <customSheetViews>
    <customSheetView guid="{8313A758-6764-4FAF-B5C3-0AC63E11C07D}" scale="50" showPageBreaks="1" printArea="1" hiddenRows="1" view="pageBreakPreview">
      <selection activeCell="A2" sqref="A2"/>
      <pageMargins left="0.31496062992125984" right="0.27559055118110237" top="0.39370078740157483" bottom="0.39370078740157483" header="0.51181102362204722" footer="0.51181102362204722"/>
      <pageSetup paperSize="8" scale="29" fitToHeight="61" orientation="landscape" r:id="rId1"/>
      <headerFooter alignWithMargins="0">
        <oddFooter>&amp;R&amp;P</oddFooter>
      </headerFooter>
    </customSheetView>
    <customSheetView guid="{39750778-B4CA-4A61-A93E-2C57443220F3}" scale="50" showPageBreaks="1" printArea="1" hiddenRows="1" view="pageBreakPreview" topLeftCell="A5">
      <pane xSplit="4" ySplit="11" topLeftCell="O25" activePane="bottomRight" state="frozen"/>
      <selection pane="bottomRight" activeCell="B41" sqref="B41"/>
      <pageMargins left="0.31496062992125984" right="0.27559055118110237" top="0.39370078740157483" bottom="0.39370078740157483" header="0.51181102362204722" footer="0.51181102362204722"/>
      <pageSetup paperSize="8" scale="29" fitToHeight="61" orientation="landscape" r:id="rId2"/>
      <headerFooter alignWithMargins="0">
        <oddFooter>&amp;R&amp;P</oddFooter>
      </headerFooter>
    </customSheetView>
  </customSheetViews>
  <mergeCells count="34">
    <mergeCell ref="E13:E14"/>
    <mergeCell ref="F13:F14"/>
    <mergeCell ref="G13:G14"/>
    <mergeCell ref="I13:I14"/>
    <mergeCell ref="O12:O14"/>
    <mergeCell ref="L13:L14"/>
    <mergeCell ref="M13:M14"/>
    <mergeCell ref="N13:N14"/>
    <mergeCell ref="J13:J14"/>
    <mergeCell ref="K13:K14"/>
    <mergeCell ref="P12:P14"/>
    <mergeCell ref="Q12:R12"/>
    <mergeCell ref="S12:T12"/>
    <mergeCell ref="X13:Y13"/>
    <mergeCell ref="Z13:AA13"/>
    <mergeCell ref="Q13:Q14"/>
    <mergeCell ref="R13:R14"/>
    <mergeCell ref="S13:S14"/>
    <mergeCell ref="A4:AA4"/>
    <mergeCell ref="A5:AA5"/>
    <mergeCell ref="A12:A14"/>
    <mergeCell ref="B12:B14"/>
    <mergeCell ref="C12:C14"/>
    <mergeCell ref="D12:D14"/>
    <mergeCell ref="E12:G12"/>
    <mergeCell ref="H12:H14"/>
    <mergeCell ref="I12:J12"/>
    <mergeCell ref="K12:N12"/>
    <mergeCell ref="U12:W12"/>
    <mergeCell ref="X12:AA12"/>
    <mergeCell ref="T13:T14"/>
    <mergeCell ref="U13:U14"/>
    <mergeCell ref="V13:V14"/>
    <mergeCell ref="W13:W14"/>
  </mergeCells>
  <phoneticPr fontId="0" type="noConversion"/>
  <pageMargins left="0.31496062992125984" right="0.27559055118110237" top="0.59055118110236227" bottom="0.59055118110236227" header="0.51181102362204722" footer="0.51181102362204722"/>
  <pageSetup paperSize="8" scale="29" fitToHeight="61" orientation="landscape" r:id="rId3"/>
  <headerFooter alignWithMargins="0">
    <oddFooter>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40"/>
  <sheetViews>
    <sheetView view="pageBreakPreview" zoomScale="60" zoomScaleNormal="32" workbookViewId="0">
      <selection activeCell="D15" sqref="D15"/>
    </sheetView>
  </sheetViews>
  <sheetFormatPr defaultRowHeight="15.75"/>
  <cols>
    <col min="1" max="1" width="54" style="56" customWidth="1"/>
    <col min="2" max="2" width="15" style="56" customWidth="1"/>
    <col min="3" max="3" width="15.375" style="56" customWidth="1"/>
    <col min="4" max="4" width="15.125" style="56" customWidth="1"/>
    <col min="5" max="5" width="18.5" style="56" customWidth="1"/>
    <col min="6" max="6" width="14.75" style="56" customWidth="1"/>
    <col min="7" max="7" width="14.625" style="56" customWidth="1"/>
    <col min="8" max="8" width="17.25" style="56" customWidth="1"/>
    <col min="9" max="9" width="15" style="56" customWidth="1"/>
    <col min="10" max="10" width="14.5" style="56" customWidth="1"/>
    <col min="11" max="11" width="15.375" style="56" customWidth="1"/>
    <col min="12" max="12" width="17.75" style="56" customWidth="1"/>
    <col min="13" max="13" width="17" style="56" customWidth="1"/>
    <col min="14" max="14" width="16.25" style="56" customWidth="1"/>
    <col min="15" max="15" width="17.5" style="56" customWidth="1"/>
    <col min="16" max="27" width="13.875" style="56" customWidth="1"/>
    <col min="28" max="16384" width="9" style="56"/>
  </cols>
  <sheetData>
    <row r="1" spans="1:27">
      <c r="AA1" s="52" t="s">
        <v>298</v>
      </c>
    </row>
    <row r="2" spans="1:27">
      <c r="AA2" s="52" t="s">
        <v>433</v>
      </c>
    </row>
    <row r="3" spans="1:27">
      <c r="AA3" s="52" t="s">
        <v>178</v>
      </c>
    </row>
    <row r="4" spans="1:27">
      <c r="AA4" s="52"/>
    </row>
    <row r="5" spans="1:27" s="112" customFormat="1" ht="25.5">
      <c r="A5" s="936" t="s">
        <v>548</v>
      </c>
      <c r="B5" s="936"/>
      <c r="C5" s="936"/>
      <c r="D5" s="936"/>
      <c r="E5" s="936"/>
      <c r="F5" s="936"/>
      <c r="G5" s="936"/>
      <c r="H5" s="936"/>
      <c r="I5" s="936"/>
      <c r="J5" s="936"/>
      <c r="K5" s="936"/>
      <c r="L5" s="936"/>
      <c r="M5" s="936"/>
      <c r="N5" s="936"/>
      <c r="O5" s="936"/>
      <c r="P5" s="936"/>
      <c r="Q5" s="936"/>
      <c r="R5" s="936"/>
      <c r="S5" s="936"/>
      <c r="T5" s="936"/>
      <c r="U5" s="936"/>
      <c r="V5" s="936"/>
      <c r="W5" s="936"/>
      <c r="X5" s="936"/>
      <c r="Y5" s="936"/>
      <c r="Z5" s="936"/>
      <c r="AA5" s="936"/>
    </row>
    <row r="6" spans="1:27" s="112" customFormat="1" ht="25.5">
      <c r="A6" s="936" t="s">
        <v>619</v>
      </c>
      <c r="B6" s="936"/>
      <c r="C6" s="936"/>
      <c r="D6" s="936"/>
      <c r="E6" s="936"/>
      <c r="F6" s="936"/>
      <c r="G6" s="936"/>
      <c r="H6" s="936"/>
      <c r="I6" s="936"/>
      <c r="J6" s="936"/>
      <c r="K6" s="936"/>
      <c r="L6" s="936"/>
      <c r="M6" s="936"/>
      <c r="N6" s="936"/>
      <c r="O6" s="936"/>
      <c r="P6" s="936"/>
      <c r="Q6" s="936"/>
      <c r="R6" s="936"/>
      <c r="S6" s="936"/>
      <c r="T6" s="936"/>
      <c r="U6" s="936"/>
      <c r="V6" s="936"/>
      <c r="W6" s="936"/>
      <c r="X6" s="936"/>
      <c r="Y6" s="936"/>
      <c r="Z6" s="936"/>
      <c r="AA6" s="936"/>
    </row>
    <row r="7" spans="1:27" ht="18.75">
      <c r="A7" s="57"/>
      <c r="Y7" s="937" t="s">
        <v>434</v>
      </c>
      <c r="Z7" s="937"/>
      <c r="AA7" s="937"/>
    </row>
    <row r="8" spans="1:27" ht="18.75">
      <c r="A8" s="57"/>
      <c r="Y8" s="814"/>
      <c r="Z8" s="814"/>
      <c r="AA8" s="815" t="s">
        <v>615</v>
      </c>
    </row>
    <row r="9" spans="1:27" ht="18.75" customHeight="1">
      <c r="A9" s="57"/>
      <c r="Y9" s="814"/>
      <c r="Z9" s="814"/>
      <c r="AA9" s="815" t="s">
        <v>618</v>
      </c>
    </row>
    <row r="10" spans="1:27" ht="18.75" customHeight="1">
      <c r="A10" s="57"/>
      <c r="Y10" s="814"/>
      <c r="Z10" s="814"/>
      <c r="AA10" s="815" t="s">
        <v>656</v>
      </c>
    </row>
    <row r="11" spans="1:27" ht="18.75" customHeight="1">
      <c r="A11" s="57"/>
      <c r="Y11" s="814"/>
      <c r="Z11" s="814"/>
      <c r="AA11" s="815" t="s">
        <v>173</v>
      </c>
    </row>
    <row r="12" spans="1:27">
      <c r="A12" s="57"/>
      <c r="AA12" s="52"/>
    </row>
    <row r="13" spans="1:27">
      <c r="D13" s="57" t="s">
        <v>290</v>
      </c>
    </row>
    <row r="14" spans="1:27" ht="16.5" thickBot="1">
      <c r="A14" s="58" t="s">
        <v>299</v>
      </c>
      <c r="B14" s="58" t="s">
        <v>300</v>
      </c>
      <c r="D14" s="59"/>
      <c r="E14" s="60"/>
      <c r="F14" s="60"/>
      <c r="G14" s="60"/>
      <c r="H14" s="60"/>
    </row>
    <row r="15" spans="1:27" ht="25.5">
      <c r="A15" s="61" t="s">
        <v>301</v>
      </c>
      <c r="B15" s="706">
        <f>70.22*1000000/1.18</f>
        <v>59508474.576271191</v>
      </c>
      <c r="C15" s="680">
        <v>1</v>
      </c>
      <c r="D15" s="704" t="str">
        <f>'приложение 1.1 '!B23</f>
        <v>Реконструкция ПС №68 -35/6кВ (Замена тр-ров 1TONb 4000/35/6кВА на 1ТД 10000/35/6кВА; 1ЗРУ-6кВ на 1КРУ-6кВ)</v>
      </c>
      <c r="E15" s="62"/>
      <c r="F15" s="62"/>
      <c r="G15" s="62"/>
      <c r="H15" s="62"/>
      <c r="I15" s="62"/>
      <c r="J15" s="62"/>
      <c r="K15" s="62"/>
    </row>
    <row r="16" spans="1:27">
      <c r="A16" s="63" t="s">
        <v>302</v>
      </c>
      <c r="B16" s="64">
        <v>0</v>
      </c>
      <c r="C16" s="62"/>
      <c r="D16" s="62"/>
      <c r="E16" s="62"/>
      <c r="F16" s="62"/>
      <c r="G16" s="62"/>
      <c r="H16" s="62"/>
      <c r="I16" s="62"/>
      <c r="J16" s="62"/>
      <c r="K16" s="62"/>
    </row>
    <row r="17" spans="1:11">
      <c r="A17" s="63" t="s">
        <v>303</v>
      </c>
      <c r="B17" s="64">
        <v>15</v>
      </c>
      <c r="C17" s="62"/>
      <c r="D17" s="57" t="s">
        <v>304</v>
      </c>
      <c r="E17" s="62"/>
      <c r="F17" s="62"/>
      <c r="G17" s="62"/>
      <c r="H17" s="62"/>
      <c r="I17" s="62"/>
      <c r="J17" s="62"/>
      <c r="K17" s="62"/>
    </row>
    <row r="18" spans="1:11" ht="16.5" thickBot="1">
      <c r="A18" s="65" t="s">
        <v>305</v>
      </c>
      <c r="B18" s="68">
        <v>1</v>
      </c>
      <c r="C18" s="62"/>
      <c r="D18" s="929" t="s">
        <v>306</v>
      </c>
      <c r="E18" s="929"/>
      <c r="F18" s="934">
        <f>SUM(B80:X80)</f>
        <v>13.941531059959349</v>
      </c>
      <c r="G18" s="935">
        <f>SUM(C80:Y80)</f>
        <v>13.941531059959349</v>
      </c>
      <c r="K18" s="66"/>
    </row>
    <row r="19" spans="1:11">
      <c r="A19" s="70" t="s">
        <v>469</v>
      </c>
      <c r="B19" s="473">
        <f>B15*0.417/100</f>
        <v>248150.33898305084</v>
      </c>
      <c r="C19" s="62"/>
      <c r="D19" s="929" t="s">
        <v>470</v>
      </c>
      <c r="E19" s="929"/>
      <c r="F19" s="934">
        <f>IF(SUM(B81:AA81)=0,"не окупается",SUM(B81:AA81))</f>
        <v>21.526020556668676</v>
      </c>
      <c r="G19" s="935"/>
      <c r="K19" s="66"/>
    </row>
    <row r="20" spans="1:11">
      <c r="A20" s="72" t="s">
        <v>471</v>
      </c>
      <c r="B20" s="474">
        <v>5</v>
      </c>
      <c r="C20" s="62"/>
      <c r="D20" s="929" t="s">
        <v>50</v>
      </c>
      <c r="E20" s="929"/>
      <c r="F20" s="932">
        <f>AA78</f>
        <v>7746922.5652609412</v>
      </c>
      <c r="G20" s="933"/>
      <c r="K20" s="66"/>
    </row>
    <row r="21" spans="1:11">
      <c r="A21" s="72" t="s">
        <v>6</v>
      </c>
      <c r="B21" s="474">
        <v>1</v>
      </c>
      <c r="C21" s="62"/>
      <c r="D21" s="929" t="s">
        <v>7</v>
      </c>
      <c r="E21" s="929"/>
      <c r="F21" s="930" t="str">
        <f>IF(F20&gt;0,"да","нет")</f>
        <v>да</v>
      </c>
      <c r="G21" s="931"/>
      <c r="K21" s="66"/>
    </row>
    <row r="22" spans="1:11">
      <c r="A22" s="72" t="s">
        <v>8</v>
      </c>
      <c r="B22" s="474">
        <f>B15*0.0375/100</f>
        <v>22315.677966101695</v>
      </c>
      <c r="C22" s="62"/>
      <c r="D22" s="62"/>
      <c r="E22" s="62"/>
      <c r="F22" s="62"/>
      <c r="G22" s="62"/>
      <c r="H22" s="62"/>
      <c r="I22" s="62"/>
      <c r="J22" s="62"/>
      <c r="K22" s="62"/>
    </row>
    <row r="23" spans="1:11">
      <c r="A23" s="72" t="s">
        <v>9</v>
      </c>
      <c r="B23" s="475">
        <v>5</v>
      </c>
      <c r="C23" s="62"/>
      <c r="D23" s="62"/>
      <c r="E23" s="62"/>
      <c r="F23" s="62"/>
      <c r="G23" s="62"/>
      <c r="H23" s="62"/>
      <c r="I23" s="62"/>
      <c r="J23" s="62"/>
      <c r="K23" s="62"/>
    </row>
    <row r="24" spans="1:11">
      <c r="A24" s="72" t="s">
        <v>10</v>
      </c>
      <c r="B24" s="475">
        <v>1</v>
      </c>
      <c r="C24" s="62"/>
      <c r="D24" s="62"/>
      <c r="E24" s="62"/>
      <c r="F24" s="62"/>
      <c r="G24" s="62"/>
      <c r="H24" s="62"/>
      <c r="I24" s="62"/>
      <c r="J24" s="62"/>
      <c r="K24" s="62"/>
    </row>
    <row r="25" spans="1:11">
      <c r="A25" s="75" t="s">
        <v>290</v>
      </c>
      <c r="B25" s="475">
        <v>0</v>
      </c>
      <c r="C25" s="62"/>
      <c r="D25" s="62"/>
      <c r="E25" s="62"/>
      <c r="F25" s="62"/>
      <c r="G25" s="62"/>
      <c r="H25" s="62"/>
      <c r="I25" s="62"/>
      <c r="J25" s="62"/>
      <c r="K25" s="62"/>
    </row>
    <row r="26" spans="1:11" ht="16.5" thickBot="1">
      <c r="A26" s="471" t="s">
        <v>100</v>
      </c>
      <c r="B26" s="476">
        <v>0.2</v>
      </c>
      <c r="C26" s="62"/>
      <c r="D26" s="62"/>
      <c r="E26" s="62"/>
      <c r="F26" s="62"/>
      <c r="G26" s="62"/>
      <c r="H26" s="62"/>
      <c r="I26" s="62"/>
      <c r="J26" s="62"/>
      <c r="K26" s="62"/>
    </row>
    <row r="27" spans="1:11">
      <c r="A27" s="61" t="s">
        <v>290</v>
      </c>
      <c r="B27" s="472">
        <v>0</v>
      </c>
      <c r="C27" s="62"/>
      <c r="D27" s="62"/>
      <c r="E27" s="62"/>
      <c r="F27" s="62"/>
      <c r="G27" s="62"/>
      <c r="H27" s="62"/>
      <c r="I27" s="62"/>
      <c r="J27" s="62"/>
      <c r="K27" s="62"/>
    </row>
    <row r="28" spans="1:11">
      <c r="A28" s="63" t="s">
        <v>11</v>
      </c>
      <c r="B28" s="64">
        <v>0</v>
      </c>
      <c r="C28" s="62"/>
      <c r="D28" s="62"/>
      <c r="E28" s="62"/>
      <c r="F28" s="62"/>
      <c r="G28" s="62"/>
      <c r="H28" s="62"/>
      <c r="I28" s="62"/>
      <c r="J28" s="62"/>
      <c r="K28" s="62"/>
    </row>
    <row r="29" spans="1:11" ht="16.5" thickBot="1">
      <c r="A29" s="67" t="s">
        <v>12</v>
      </c>
      <c r="B29" s="69">
        <v>0.1</v>
      </c>
      <c r="C29" s="62"/>
      <c r="D29" s="62"/>
      <c r="E29" s="62"/>
      <c r="F29" s="62"/>
      <c r="G29" s="62"/>
      <c r="H29" s="62"/>
      <c r="I29" s="62"/>
      <c r="J29" s="62"/>
      <c r="K29" s="62"/>
    </row>
    <row r="30" spans="1:11">
      <c r="A30" s="70" t="s">
        <v>13</v>
      </c>
      <c r="B30" s="71">
        <v>7</v>
      </c>
    </row>
    <row r="31" spans="1:11">
      <c r="A31" s="72" t="s">
        <v>14</v>
      </c>
      <c r="B31" s="73">
        <v>0.16971</v>
      </c>
    </row>
    <row r="32" spans="1:11">
      <c r="A32" s="72" t="s">
        <v>15</v>
      </c>
      <c r="B32" s="74">
        <f>B31</f>
        <v>0.16971</v>
      </c>
    </row>
    <row r="33" spans="1:27">
      <c r="A33" s="72" t="s">
        <v>16</v>
      </c>
      <c r="B33" s="74">
        <f>+(B43+B44)/B15</f>
        <v>0</v>
      </c>
    </row>
    <row r="34" spans="1:27">
      <c r="A34" s="72" t="s">
        <v>17</v>
      </c>
      <c r="B34" s="74">
        <v>8.4000000000000005E-2</v>
      </c>
    </row>
    <row r="35" spans="1:27">
      <c r="A35" s="72" t="s">
        <v>18</v>
      </c>
      <c r="B35" s="74">
        <f>1-B33</f>
        <v>1</v>
      </c>
    </row>
    <row r="36" spans="1:27" ht="16.5" thickBot="1">
      <c r="A36" s="75" t="s">
        <v>19</v>
      </c>
      <c r="B36" s="76">
        <f>B35*B34+B33*B32*(1-B26)</f>
        <v>8.4000000000000005E-2</v>
      </c>
    </row>
    <row r="37" spans="1:27" ht="47.25">
      <c r="A37" s="77" t="s">
        <v>20</v>
      </c>
      <c r="B37" s="78" t="s">
        <v>612</v>
      </c>
      <c r="C37" s="79">
        <v>2017</v>
      </c>
      <c r="D37" s="80">
        <f t="shared" ref="D37:AA37" si="0">C37+1</f>
        <v>2018</v>
      </c>
      <c r="E37" s="80">
        <f t="shared" si="0"/>
        <v>2019</v>
      </c>
      <c r="F37" s="80">
        <f t="shared" si="0"/>
        <v>2020</v>
      </c>
      <c r="G37" s="80">
        <f t="shared" si="0"/>
        <v>2021</v>
      </c>
      <c r="H37" s="80">
        <f t="shared" si="0"/>
        <v>2022</v>
      </c>
      <c r="I37" s="80">
        <f t="shared" si="0"/>
        <v>2023</v>
      </c>
      <c r="J37" s="80">
        <f t="shared" si="0"/>
        <v>2024</v>
      </c>
      <c r="K37" s="80">
        <f t="shared" si="0"/>
        <v>2025</v>
      </c>
      <c r="L37" s="81">
        <f t="shared" si="0"/>
        <v>2026</v>
      </c>
      <c r="M37" s="81">
        <f t="shared" si="0"/>
        <v>2027</v>
      </c>
      <c r="N37" s="81">
        <f t="shared" si="0"/>
        <v>2028</v>
      </c>
      <c r="O37" s="81">
        <f t="shared" si="0"/>
        <v>2029</v>
      </c>
      <c r="P37" s="81">
        <f t="shared" si="0"/>
        <v>2030</v>
      </c>
      <c r="Q37" s="81">
        <f t="shared" si="0"/>
        <v>2031</v>
      </c>
      <c r="R37" s="81">
        <f t="shared" si="0"/>
        <v>2032</v>
      </c>
      <c r="S37" s="81">
        <f t="shared" si="0"/>
        <v>2033</v>
      </c>
      <c r="T37" s="81">
        <f t="shared" si="0"/>
        <v>2034</v>
      </c>
      <c r="U37" s="81">
        <f t="shared" si="0"/>
        <v>2035</v>
      </c>
      <c r="V37" s="81">
        <f t="shared" si="0"/>
        <v>2036</v>
      </c>
      <c r="W37" s="81">
        <f t="shared" si="0"/>
        <v>2037</v>
      </c>
      <c r="X37" s="81">
        <f t="shared" si="0"/>
        <v>2038</v>
      </c>
      <c r="Y37" s="81">
        <f t="shared" si="0"/>
        <v>2039</v>
      </c>
      <c r="Z37" s="81">
        <f t="shared" si="0"/>
        <v>2040</v>
      </c>
      <c r="AA37" s="82">
        <f t="shared" si="0"/>
        <v>2041</v>
      </c>
    </row>
    <row r="38" spans="1:27">
      <c r="A38" s="83" t="s">
        <v>21</v>
      </c>
      <c r="B38" s="84">
        <v>4.3999999999999997E-2</v>
      </c>
      <c r="C38" s="84">
        <v>4.3999999999999997E-2</v>
      </c>
      <c r="D38" s="84">
        <v>4.3999999999999997E-2</v>
      </c>
      <c r="E38" s="84">
        <v>4.3999999999999997E-2</v>
      </c>
      <c r="F38" s="84">
        <v>4.3999999999999997E-2</v>
      </c>
      <c r="G38" s="84">
        <v>4.3999999999999997E-2</v>
      </c>
      <c r="H38" s="84">
        <v>4.3999999999999997E-2</v>
      </c>
      <c r="I38" s="84">
        <v>4.3999999999999997E-2</v>
      </c>
      <c r="J38" s="84">
        <v>4.3999999999999997E-2</v>
      </c>
      <c r="K38" s="84">
        <v>4.3999999999999997E-2</v>
      </c>
      <c r="L38" s="84">
        <v>4.3999999999999997E-2</v>
      </c>
      <c r="M38" s="84">
        <v>4.3999999999999997E-2</v>
      </c>
      <c r="N38" s="84">
        <v>4.3999999999999997E-2</v>
      </c>
      <c r="O38" s="84">
        <v>4.3999999999999997E-2</v>
      </c>
      <c r="P38" s="84">
        <v>4.3999999999999997E-2</v>
      </c>
      <c r="Q38" s="84">
        <v>4.3999999999999997E-2</v>
      </c>
      <c r="R38" s="84">
        <v>4.3999999999999997E-2</v>
      </c>
      <c r="S38" s="84">
        <v>4.3999999999999997E-2</v>
      </c>
      <c r="T38" s="84">
        <v>4.3999999999999997E-2</v>
      </c>
      <c r="U38" s="84">
        <v>4.3999999999999997E-2</v>
      </c>
      <c r="V38" s="84">
        <v>4.3999999999999997E-2</v>
      </c>
      <c r="W38" s="84">
        <v>4.3999999999999997E-2</v>
      </c>
      <c r="X38" s="84">
        <v>4.3999999999999997E-2</v>
      </c>
      <c r="Y38" s="84">
        <v>4.3999999999999997E-2</v>
      </c>
      <c r="Z38" s="84">
        <v>4.3999999999999997E-2</v>
      </c>
      <c r="AA38" s="84">
        <v>4.3999999999999997E-2</v>
      </c>
    </row>
    <row r="39" spans="1:27">
      <c r="A39" s="83" t="s">
        <v>22</v>
      </c>
      <c r="B39" s="84">
        <f>B38</f>
        <v>4.3999999999999997E-2</v>
      </c>
      <c r="C39" s="84">
        <f>(1+B39)*(1+C38)-1</f>
        <v>8.9936000000000016E-2</v>
      </c>
      <c r="D39" s="84">
        <f>(1+C39)*(1+D38)-1</f>
        <v>0.13789318400000017</v>
      </c>
      <c r="E39" s="84">
        <f t="shared" ref="E39:AA39" si="1">(1+D39)*(1+E38)-1</f>
        <v>0.1879604840960003</v>
      </c>
      <c r="F39" s="84">
        <f t="shared" si="1"/>
        <v>0.24023074539622447</v>
      </c>
      <c r="G39" s="84">
        <f t="shared" si="1"/>
        <v>0.29480089819365829</v>
      </c>
      <c r="H39" s="84">
        <f t="shared" si="1"/>
        <v>0.35177213771417937</v>
      </c>
      <c r="I39" s="84">
        <f t="shared" si="1"/>
        <v>0.41125011177360338</v>
      </c>
      <c r="J39" s="84">
        <f t="shared" si="1"/>
        <v>0.47334511669164203</v>
      </c>
      <c r="K39" s="84">
        <f t="shared" si="1"/>
        <v>0.53817230182607423</v>
      </c>
      <c r="L39" s="84">
        <f t="shared" si="1"/>
        <v>0.60585188310642146</v>
      </c>
      <c r="M39" s="84">
        <f t="shared" si="1"/>
        <v>0.67650936596310407</v>
      </c>
      <c r="N39" s="84">
        <f t="shared" si="1"/>
        <v>0.75027577806548074</v>
      </c>
      <c r="O39" s="84">
        <f t="shared" si="1"/>
        <v>0.82728791230036203</v>
      </c>
      <c r="P39" s="84">
        <f t="shared" si="1"/>
        <v>0.90768858044157796</v>
      </c>
      <c r="Q39" s="84">
        <f t="shared" si="1"/>
        <v>0.99162687798100757</v>
      </c>
      <c r="R39" s="84">
        <f t="shared" si="1"/>
        <v>1.0792584606121718</v>
      </c>
      <c r="S39" s="84">
        <f t="shared" si="1"/>
        <v>1.1707458328791076</v>
      </c>
      <c r="T39" s="84">
        <f t="shared" si="1"/>
        <v>1.2662586495257884</v>
      </c>
      <c r="U39" s="84">
        <f t="shared" si="1"/>
        <v>1.365974030104923</v>
      </c>
      <c r="V39" s="84">
        <f t="shared" si="1"/>
        <v>1.4700768874295398</v>
      </c>
      <c r="W39" s="84">
        <f t="shared" si="1"/>
        <v>1.5787602704764399</v>
      </c>
      <c r="X39" s="84">
        <f t="shared" si="1"/>
        <v>1.6922257223774033</v>
      </c>
      <c r="Y39" s="84">
        <f t="shared" si="1"/>
        <v>1.810683654162009</v>
      </c>
      <c r="Z39" s="84">
        <f t="shared" si="1"/>
        <v>1.9343537349451374</v>
      </c>
      <c r="AA39" s="84">
        <f t="shared" si="1"/>
        <v>2.0634652992827234</v>
      </c>
    </row>
    <row r="40" spans="1:27" ht="16.5" thickBot="1">
      <c r="A40" s="85" t="s">
        <v>23</v>
      </c>
      <c r="B40" s="86"/>
      <c r="C40" s="87">
        <f>B15*0.12*1.075</f>
        <v>7676593.2203389825</v>
      </c>
      <c r="D40" s="87">
        <f>C40*(1+D38)</f>
        <v>8014363.322033898</v>
      </c>
      <c r="E40" s="87">
        <f t="shared" ref="E40:AA40" si="2">D40*(1+E38)</f>
        <v>8366995.3082033899</v>
      </c>
      <c r="F40" s="87">
        <f t="shared" si="2"/>
        <v>8735143.10176434</v>
      </c>
      <c r="G40" s="87">
        <f t="shared" si="2"/>
        <v>9119489.3982419707</v>
      </c>
      <c r="H40" s="87">
        <f t="shared" si="2"/>
        <v>9520746.9317646176</v>
      </c>
      <c r="I40" s="87">
        <f t="shared" si="2"/>
        <v>9939659.7967622615</v>
      </c>
      <c r="J40" s="87">
        <f t="shared" si="2"/>
        <v>10377004.827819802</v>
      </c>
      <c r="K40" s="87">
        <f t="shared" si="2"/>
        <v>10833593.040243873</v>
      </c>
      <c r="L40" s="87">
        <f t="shared" si="2"/>
        <v>11310271.134014605</v>
      </c>
      <c r="M40" s="87">
        <f t="shared" si="2"/>
        <v>11807923.063911248</v>
      </c>
      <c r="N40" s="87">
        <f t="shared" si="2"/>
        <v>12327471.678723343</v>
      </c>
      <c r="O40" s="87">
        <f t="shared" si="2"/>
        <v>12869880.432587171</v>
      </c>
      <c r="P40" s="87">
        <f t="shared" si="2"/>
        <v>13436155.171621008</v>
      </c>
      <c r="Q40" s="87">
        <f t="shared" si="2"/>
        <v>14027345.999172334</v>
      </c>
      <c r="R40" s="87">
        <f t="shared" si="2"/>
        <v>14644549.223135917</v>
      </c>
      <c r="S40" s="87">
        <f t="shared" si="2"/>
        <v>15288909.388953898</v>
      </c>
      <c r="T40" s="87">
        <f t="shared" si="2"/>
        <v>15961621.40206787</v>
      </c>
      <c r="U40" s="87">
        <f t="shared" si="2"/>
        <v>16663932.743758857</v>
      </c>
      <c r="V40" s="87">
        <f t="shared" si="2"/>
        <v>17397145.784484249</v>
      </c>
      <c r="W40" s="87">
        <f t="shared" si="2"/>
        <v>18162620.199001554</v>
      </c>
      <c r="X40" s="87">
        <f t="shared" si="2"/>
        <v>18961775.487757623</v>
      </c>
      <c r="Y40" s="87">
        <f t="shared" si="2"/>
        <v>19796093.609218959</v>
      </c>
      <c r="Z40" s="87">
        <f t="shared" si="2"/>
        <v>20667121.728024594</v>
      </c>
      <c r="AA40" s="87">
        <f t="shared" si="2"/>
        <v>21576475.084057678</v>
      </c>
    </row>
    <row r="41" spans="1:27" ht="16.5" thickBot="1"/>
    <row r="42" spans="1:27" ht="47.25">
      <c r="A42" s="88" t="s">
        <v>24</v>
      </c>
      <c r="B42" s="78" t="s">
        <v>612</v>
      </c>
      <c r="C42" s="79">
        <f>C37</f>
        <v>2017</v>
      </c>
      <c r="D42" s="80">
        <f t="shared" ref="D42:AA42" si="3">C42+1</f>
        <v>2018</v>
      </c>
      <c r="E42" s="80">
        <f t="shared" si="3"/>
        <v>2019</v>
      </c>
      <c r="F42" s="80">
        <f t="shared" si="3"/>
        <v>2020</v>
      </c>
      <c r="G42" s="80">
        <f t="shared" si="3"/>
        <v>2021</v>
      </c>
      <c r="H42" s="80">
        <f t="shared" si="3"/>
        <v>2022</v>
      </c>
      <c r="I42" s="80">
        <f t="shared" si="3"/>
        <v>2023</v>
      </c>
      <c r="J42" s="80">
        <f t="shared" si="3"/>
        <v>2024</v>
      </c>
      <c r="K42" s="80">
        <f t="shared" si="3"/>
        <v>2025</v>
      </c>
      <c r="L42" s="80">
        <f t="shared" si="3"/>
        <v>2026</v>
      </c>
      <c r="M42" s="80">
        <f t="shared" si="3"/>
        <v>2027</v>
      </c>
      <c r="N42" s="80">
        <f t="shared" si="3"/>
        <v>2028</v>
      </c>
      <c r="O42" s="80">
        <f t="shared" si="3"/>
        <v>2029</v>
      </c>
      <c r="P42" s="80">
        <f t="shared" si="3"/>
        <v>2030</v>
      </c>
      <c r="Q42" s="80">
        <f t="shared" si="3"/>
        <v>2031</v>
      </c>
      <c r="R42" s="80">
        <f t="shared" si="3"/>
        <v>2032</v>
      </c>
      <c r="S42" s="80">
        <f t="shared" si="3"/>
        <v>2033</v>
      </c>
      <c r="T42" s="80">
        <f t="shared" si="3"/>
        <v>2034</v>
      </c>
      <c r="U42" s="80">
        <f t="shared" si="3"/>
        <v>2035</v>
      </c>
      <c r="V42" s="80">
        <f t="shared" si="3"/>
        <v>2036</v>
      </c>
      <c r="W42" s="80">
        <f t="shared" si="3"/>
        <v>2037</v>
      </c>
      <c r="X42" s="80">
        <f t="shared" si="3"/>
        <v>2038</v>
      </c>
      <c r="Y42" s="80">
        <f t="shared" si="3"/>
        <v>2039</v>
      </c>
      <c r="Z42" s="80">
        <f t="shared" si="3"/>
        <v>2040</v>
      </c>
      <c r="AA42" s="80">
        <f t="shared" si="3"/>
        <v>2041</v>
      </c>
    </row>
    <row r="43" spans="1:27">
      <c r="A43" s="89" t="s">
        <v>25</v>
      </c>
      <c r="B43" s="90">
        <v>0</v>
      </c>
      <c r="C43" s="90">
        <f t="shared" ref="C43:AA43" si="4">B43+B44-B45</f>
        <v>0</v>
      </c>
      <c r="D43" s="90">
        <f>C43+C44-C45</f>
        <v>22983050.847457629</v>
      </c>
      <c r="E43" s="90">
        <f>D43+D44-D45</f>
        <v>44042372.881355941</v>
      </c>
      <c r="F43" s="90">
        <f t="shared" si="4"/>
        <v>53601694.91525425</v>
      </c>
      <c r="G43" s="90">
        <f t="shared" si="4"/>
        <v>53601694.91525425</v>
      </c>
      <c r="H43" s="90">
        <f t="shared" si="4"/>
        <v>45944309.927360788</v>
      </c>
      <c r="I43" s="90">
        <f>H43+H44-H45</f>
        <v>38286924.939467326</v>
      </c>
      <c r="J43" s="90">
        <f t="shared" si="4"/>
        <v>30629539.951573864</v>
      </c>
      <c r="K43" s="90">
        <f t="shared" si="4"/>
        <v>22972154.963680401</v>
      </c>
      <c r="L43" s="90">
        <f t="shared" si="4"/>
        <v>15314769.975786937</v>
      </c>
      <c r="M43" s="90">
        <f t="shared" si="4"/>
        <v>7657384.9878934734</v>
      </c>
      <c r="N43" s="90">
        <f t="shared" si="4"/>
        <v>9.3132257461547852E-9</v>
      </c>
      <c r="O43" s="90">
        <f t="shared" si="4"/>
        <v>9.3132257461547852E-9</v>
      </c>
      <c r="P43" s="90">
        <f t="shared" si="4"/>
        <v>9.3132257461547852E-9</v>
      </c>
      <c r="Q43" s="90">
        <f t="shared" si="4"/>
        <v>9.3132257461547852E-9</v>
      </c>
      <c r="R43" s="344">
        <f t="shared" si="4"/>
        <v>9.3132257461547852E-9</v>
      </c>
      <c r="S43" s="344">
        <f t="shared" si="4"/>
        <v>9.3132257461547852E-9</v>
      </c>
      <c r="T43" s="344">
        <f t="shared" si="4"/>
        <v>9.3132257461547852E-9</v>
      </c>
      <c r="U43" s="344">
        <f t="shared" si="4"/>
        <v>9.3132257461547852E-9</v>
      </c>
      <c r="V43" s="344">
        <f t="shared" si="4"/>
        <v>9.3132257461547852E-9</v>
      </c>
      <c r="W43" s="344">
        <f t="shared" si="4"/>
        <v>9.3132257461547852E-9</v>
      </c>
      <c r="X43" s="344">
        <f t="shared" si="4"/>
        <v>9.3132257461547852E-9</v>
      </c>
      <c r="Y43" s="344">
        <f t="shared" si="4"/>
        <v>9.3132257461547852E-9</v>
      </c>
      <c r="Z43" s="344">
        <f t="shared" si="4"/>
        <v>9.3132257461547852E-9</v>
      </c>
      <c r="AA43" s="344">
        <f t="shared" si="4"/>
        <v>9.3132257461547852E-9</v>
      </c>
    </row>
    <row r="44" spans="1:27">
      <c r="A44" s="89" t="s">
        <v>26</v>
      </c>
      <c r="B44" s="596">
        <v>0</v>
      </c>
      <c r="C44" s="596">
        <f>27.12/1.18*1000000</f>
        <v>22983050.847457629</v>
      </c>
      <c r="D44" s="596">
        <f>24.85/1.18*1000000</f>
        <v>21059322.033898309</v>
      </c>
      <c r="E44" s="596">
        <f>11.28/1.18*1000000</f>
        <v>9559322.0338983051</v>
      </c>
      <c r="F44" s="596">
        <f>'приложение 4.1 '!G65*1000000</f>
        <v>0</v>
      </c>
      <c r="G44" s="90">
        <v>0</v>
      </c>
      <c r="H44" s="124">
        <v>0</v>
      </c>
      <c r="I44" s="124">
        <v>0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24">
        <v>0</v>
      </c>
      <c r="P44" s="124">
        <v>0</v>
      </c>
      <c r="Q44" s="124">
        <v>0</v>
      </c>
      <c r="R44" s="344">
        <v>0</v>
      </c>
      <c r="S44" s="344">
        <v>0</v>
      </c>
      <c r="T44" s="344">
        <v>0</v>
      </c>
      <c r="U44" s="344">
        <v>0</v>
      </c>
      <c r="V44" s="344">
        <v>0</v>
      </c>
      <c r="W44" s="344">
        <v>0</v>
      </c>
      <c r="X44" s="344">
        <v>0</v>
      </c>
      <c r="Y44" s="344">
        <v>0</v>
      </c>
      <c r="Z44" s="344">
        <v>0</v>
      </c>
      <c r="AA44" s="344">
        <v>0</v>
      </c>
    </row>
    <row r="45" spans="1:27">
      <c r="A45" s="83" t="s">
        <v>27</v>
      </c>
      <c r="B45" s="124">
        <v>0</v>
      </c>
      <c r="C45" s="124">
        <v>0</v>
      </c>
      <c r="D45" s="124">
        <v>0</v>
      </c>
      <c r="E45" s="124"/>
      <c r="F45" s="90"/>
      <c r="G45" s="124">
        <f>G43/7</f>
        <v>7657384.987893464</v>
      </c>
      <c r="H45" s="90">
        <f>IF(ROUND(H43,1)=0,0,G45+H44/$B$30)</f>
        <v>7657384.987893464</v>
      </c>
      <c r="I45" s="90">
        <f>IF(ROUND(I43,1)=0,0,H45+I44/$B$30)</f>
        <v>7657384.987893464</v>
      </c>
      <c r="J45" s="90">
        <f>IF(ROUND(J43,1)=0,0,I45+J44/B30)</f>
        <v>7657384.987893464</v>
      </c>
      <c r="K45" s="90">
        <f>IF(ROUND(K43,1)=0,0,J45+K44/B30)</f>
        <v>7657384.987893464</v>
      </c>
      <c r="L45" s="90">
        <f>IF(ROUND(L43,1)=0,0,K45+L44/B30)</f>
        <v>7657384.987893464</v>
      </c>
      <c r="M45" s="90">
        <f>IF(ROUND(M43,1)=0,0,L45+M44/B30)</f>
        <v>7657384.987893464</v>
      </c>
      <c r="N45" s="90">
        <f>IF(ROUND(N43,1)=0,0,M45+N44/B30)</f>
        <v>0</v>
      </c>
      <c r="O45" s="90">
        <f>IF(ROUND(O43,1)=0,0,N45+O44/B30)</f>
        <v>0</v>
      </c>
      <c r="P45" s="90">
        <f>IF(ROUND(P43,1)=0,0,O45+P44/B30)</f>
        <v>0</v>
      </c>
      <c r="Q45" s="90">
        <f>IF(ROUND(Q43,1)=0,0,P45+Q44/B30)</f>
        <v>0</v>
      </c>
      <c r="R45" s="344">
        <f>IF(ROUND(R43,1)=0,0,Q45+R44/B30)</f>
        <v>0</v>
      </c>
      <c r="S45" s="344">
        <f>IF(ROUND(S43,1)=0,0,R45+S44/B30)</f>
        <v>0</v>
      </c>
      <c r="T45" s="344">
        <f>IF(ROUND(T43,1)=0,0,S45+T44/B30)</f>
        <v>0</v>
      </c>
      <c r="U45" s="344">
        <f>IF(ROUND(U43,1)=0,0,T45+U44/B30)</f>
        <v>0</v>
      </c>
      <c r="V45" s="344">
        <f>IF(ROUND(V43,1)=0,0,U45+V44/B30)</f>
        <v>0</v>
      </c>
      <c r="W45" s="344">
        <f>IF(ROUND(W43,1)=0,0,V45+W44/B30)</f>
        <v>0</v>
      </c>
      <c r="X45" s="344">
        <f>IF(ROUND(X43,1)=0,0,W45+X44/B30)</f>
        <v>0</v>
      </c>
      <c r="Y45" s="344">
        <f>IF(ROUND(Y43,1)=0,0,X45+Y44/B30)</f>
        <v>0</v>
      </c>
      <c r="Z45" s="344">
        <f>IF(ROUND(Z43,1)=0,0,Y45+Z44/B30)</f>
        <v>0</v>
      </c>
      <c r="AA45" s="344">
        <f>IF(ROUND(AA43,1)=0,0,Z45+AA44/B30)</f>
        <v>0</v>
      </c>
    </row>
    <row r="46" spans="1:27" ht="16.5" thickBot="1">
      <c r="A46" s="85" t="s">
        <v>28</v>
      </c>
      <c r="B46" s="91">
        <f>AVERAGE(SUM(B43:B44),(SUM(B43:B44)-B45))*B32</f>
        <v>0</v>
      </c>
      <c r="C46" s="91">
        <f>AVERAGE(SUM(C43:C44),(SUM(C43:C44)-C45))*B32</f>
        <v>3900453.559322034</v>
      </c>
      <c r="D46" s="91">
        <f>AVERAGE(SUM(D43:D44),(SUM(D43:D44)-D45))*B32</f>
        <v>7474431.1016949164</v>
      </c>
      <c r="E46" s="91">
        <f>AVERAGE(SUM(E43:E44),(SUM(E43:E44)-E45))*B32</f>
        <v>9096743.6440677997</v>
      </c>
      <c r="F46" s="91">
        <f>AVERAGE(SUM(F43:F44),(SUM(F43:F44)-F45))*B32</f>
        <v>9096743.6440677997</v>
      </c>
      <c r="G46" s="91">
        <f>AVERAGE(SUM(G43:G44),(SUM(G43:G44)-G45))*B32</f>
        <v>8446976.2409200985</v>
      </c>
      <c r="H46" s="91">
        <f>AVERAGE(SUM(H43:H44),(SUM(H43:H44)-H45))*B32</f>
        <v>7147441.4346246999</v>
      </c>
      <c r="I46" s="91">
        <f>AVERAGE(SUM(I43:I44),(SUM(I43:I44)-I45))*B32</f>
        <v>5847906.6283293003</v>
      </c>
      <c r="J46" s="91">
        <f>AVERAGE(SUM(J43:J44),(SUM(J43:J44)-J45))*B32</f>
        <v>4548371.8220339008</v>
      </c>
      <c r="K46" s="91">
        <f>AVERAGE(SUM(K43:K44),(SUM(K43:K44)-K45))*B32</f>
        <v>3248837.0157385012</v>
      </c>
      <c r="L46" s="91">
        <f>AVERAGE(SUM(L43:L44),(SUM(L43:L44)-L45))*B32</f>
        <v>1949302.2094431012</v>
      </c>
      <c r="M46" s="91">
        <f>AVERAGE(SUM(M43:M44),(SUM(M43:M44)-M45))*B32</f>
        <v>649767.40314770152</v>
      </c>
      <c r="N46" s="91">
        <f>AVERAGE(SUM(N43:N44),(SUM(N43:N44)-N45))*B32</f>
        <v>1.5805475413799286E-9</v>
      </c>
      <c r="O46" s="91">
        <f>AVERAGE(SUM(O43:O44),(SUM(O43:O44)-O45))*B32</f>
        <v>1.5805475413799286E-9</v>
      </c>
      <c r="P46" s="91">
        <f>AVERAGE(SUM(P43:P44),(SUM(P43:P44)-P45))*B32</f>
        <v>1.5805475413799286E-9</v>
      </c>
      <c r="Q46" s="91">
        <f>AVERAGE(SUM(Q43:Q44),(SUM(Q43:Q44)-Q45))*B32</f>
        <v>1.5805475413799286E-9</v>
      </c>
      <c r="R46" s="345">
        <f>AVERAGE(SUM(R43:R44),(SUM(R43:R44)-R45))*B32</f>
        <v>1.5805475413799286E-9</v>
      </c>
      <c r="S46" s="345">
        <f>AVERAGE(SUM(S43:S44),(SUM(S43:S44)-S45))*B32</f>
        <v>1.5805475413799286E-9</v>
      </c>
      <c r="T46" s="345">
        <f>AVERAGE(SUM(T43:T44),(SUM(T43:T44)-T45))*B32</f>
        <v>1.5805475413799286E-9</v>
      </c>
      <c r="U46" s="345">
        <f>AVERAGE(SUM(U43:U44),(SUM(U43:U44)-U45))*B32</f>
        <v>1.5805475413799286E-9</v>
      </c>
      <c r="V46" s="345">
        <f>AVERAGE(SUM(V43:V44),(SUM(V43:V44)-V45))*B32</f>
        <v>1.5805475413799286E-9</v>
      </c>
      <c r="W46" s="345">
        <f>AVERAGE(SUM(W43:W44),(SUM(W43:W44)-W45))*B32</f>
        <v>1.5805475413799286E-9</v>
      </c>
      <c r="X46" s="345">
        <f>AVERAGE(SUM(X43:X44),(SUM(X43:X44)-X45))*B32</f>
        <v>1.5805475413799286E-9</v>
      </c>
      <c r="Y46" s="345">
        <f>AVERAGE(SUM(Y43:Y44),(SUM(Y43:Y44)-Y45))*B32</f>
        <v>1.5805475413799286E-9</v>
      </c>
      <c r="Z46" s="345">
        <f>AVERAGE(SUM(Z43:Z44),(SUM(Z43:Z44)-Z45))*B32</f>
        <v>1.5805475413799286E-9</v>
      </c>
      <c r="AA46" s="345">
        <f>AVERAGE(SUM(AA43:AA44),(SUM(AA43:AA44)-AA45))*B32</f>
        <v>1.5805475413799286E-9</v>
      </c>
    </row>
    <row r="47" spans="1:27" ht="16.5" thickBot="1">
      <c r="A47" s="92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</row>
    <row r="48" spans="1:27" ht="47.25">
      <c r="A48" s="88" t="s">
        <v>29</v>
      </c>
      <c r="B48" s="78" t="s">
        <v>612</v>
      </c>
      <c r="C48" s="79">
        <f>C42</f>
        <v>2017</v>
      </c>
      <c r="D48" s="80">
        <f t="shared" ref="D48:AA48" si="5">C48+1</f>
        <v>2018</v>
      </c>
      <c r="E48" s="80">
        <f t="shared" si="5"/>
        <v>2019</v>
      </c>
      <c r="F48" s="80">
        <f t="shared" si="5"/>
        <v>2020</v>
      </c>
      <c r="G48" s="80">
        <f t="shared" si="5"/>
        <v>2021</v>
      </c>
      <c r="H48" s="80">
        <f t="shared" si="5"/>
        <v>2022</v>
      </c>
      <c r="I48" s="80">
        <f t="shared" si="5"/>
        <v>2023</v>
      </c>
      <c r="J48" s="80">
        <f t="shared" si="5"/>
        <v>2024</v>
      </c>
      <c r="K48" s="80">
        <f t="shared" si="5"/>
        <v>2025</v>
      </c>
      <c r="L48" s="80">
        <f t="shared" si="5"/>
        <v>2026</v>
      </c>
      <c r="M48" s="80">
        <f t="shared" si="5"/>
        <v>2027</v>
      </c>
      <c r="N48" s="80">
        <f t="shared" si="5"/>
        <v>2028</v>
      </c>
      <c r="O48" s="80">
        <f t="shared" si="5"/>
        <v>2029</v>
      </c>
      <c r="P48" s="80">
        <f t="shared" si="5"/>
        <v>2030</v>
      </c>
      <c r="Q48" s="80">
        <f t="shared" si="5"/>
        <v>2031</v>
      </c>
      <c r="R48" s="80">
        <f t="shared" si="5"/>
        <v>2032</v>
      </c>
      <c r="S48" s="80">
        <f t="shared" si="5"/>
        <v>2033</v>
      </c>
      <c r="T48" s="80">
        <f t="shared" si="5"/>
        <v>2034</v>
      </c>
      <c r="U48" s="80">
        <f t="shared" si="5"/>
        <v>2035</v>
      </c>
      <c r="V48" s="80">
        <f t="shared" si="5"/>
        <v>2036</v>
      </c>
      <c r="W48" s="80">
        <f t="shared" si="5"/>
        <v>2037</v>
      </c>
      <c r="X48" s="80">
        <f t="shared" si="5"/>
        <v>2038</v>
      </c>
      <c r="Y48" s="80">
        <f t="shared" si="5"/>
        <v>2039</v>
      </c>
      <c r="Z48" s="80">
        <f t="shared" si="5"/>
        <v>2040</v>
      </c>
      <c r="AA48" s="80">
        <f t="shared" si="5"/>
        <v>2041</v>
      </c>
    </row>
    <row r="49" spans="1:27">
      <c r="A49" s="94" t="s">
        <v>30</v>
      </c>
      <c r="B49" s="95"/>
      <c r="C49" s="95">
        <f>C40*B18</f>
        <v>7676593.2203389825</v>
      </c>
      <c r="D49" s="95">
        <f>D40*B18</f>
        <v>8014363.322033898</v>
      </c>
      <c r="E49" s="95">
        <f>E40*B18</f>
        <v>8366995.3082033899</v>
      </c>
      <c r="F49" s="95">
        <f>F40*B18</f>
        <v>8735143.10176434</v>
      </c>
      <c r="G49" s="95">
        <f>G40*B18</f>
        <v>9119489.3982419707</v>
      </c>
      <c r="H49" s="95">
        <f>H40*B18</f>
        <v>9520746.9317646176</v>
      </c>
      <c r="I49" s="95">
        <f>I40*B18</f>
        <v>9939659.7967622615</v>
      </c>
      <c r="J49" s="95">
        <f>J40*B18</f>
        <v>10377004.827819802</v>
      </c>
      <c r="K49" s="95">
        <f>K40*B18</f>
        <v>10833593.040243873</v>
      </c>
      <c r="L49" s="95">
        <f>L40*B18</f>
        <v>11310271.134014605</v>
      </c>
      <c r="M49" s="95">
        <f>M40*B18</f>
        <v>11807923.063911248</v>
      </c>
      <c r="N49" s="95">
        <f>N40*B18</f>
        <v>12327471.678723343</v>
      </c>
      <c r="O49" s="95">
        <f>O40*B18</f>
        <v>12869880.432587171</v>
      </c>
      <c r="P49" s="95">
        <f>P40*B18</f>
        <v>13436155.171621008</v>
      </c>
      <c r="Q49" s="95">
        <f>Q40*B18</f>
        <v>14027345.999172334</v>
      </c>
      <c r="R49" s="95">
        <f>R40*B18</f>
        <v>14644549.223135917</v>
      </c>
      <c r="S49" s="95">
        <f>S40*B18</f>
        <v>15288909.388953898</v>
      </c>
      <c r="T49" s="95">
        <f>T40*B18</f>
        <v>15961621.40206787</v>
      </c>
      <c r="U49" s="95">
        <f>U40*B18</f>
        <v>16663932.743758857</v>
      </c>
      <c r="V49" s="95">
        <f>V40*B18</f>
        <v>17397145.784484249</v>
      </c>
      <c r="W49" s="95">
        <f>W40*B18</f>
        <v>18162620.199001554</v>
      </c>
      <c r="X49" s="95">
        <f>X40*B18</f>
        <v>18961775.487757623</v>
      </c>
      <c r="Y49" s="95">
        <f>Y40*B18</f>
        <v>19796093.609218959</v>
      </c>
      <c r="Z49" s="95">
        <f>Z40*B18</f>
        <v>20667121.728024594</v>
      </c>
      <c r="AA49" s="95">
        <f>AA40*B18</f>
        <v>21576475.084057678</v>
      </c>
    </row>
    <row r="50" spans="1:27">
      <c r="A50" s="89" t="s">
        <v>31</v>
      </c>
      <c r="B50" s="96"/>
      <c r="C50" s="96">
        <f>SUM(C51:C56)</f>
        <v>-800417.76729355939</v>
      </c>
      <c r="D50" s="96">
        <f t="shared" ref="D50:AA50" si="6">SUM(D51:D56)</f>
        <v>-1420141.0982070183</v>
      </c>
      <c r="E50" s="96">
        <f t="shared" si="6"/>
        <v>-1725424.9743247374</v>
      </c>
      <c r="F50" s="96">
        <f t="shared" si="6"/>
        <v>-1509705.8065283594</v>
      </c>
      <c r="G50" s="96">
        <f t="shared" si="6"/>
        <v>-1480825.630377189</v>
      </c>
      <c r="H50" s="96">
        <f t="shared" si="6"/>
        <v>-1452594.8665883616</v>
      </c>
      <c r="I50" s="96">
        <f t="shared" si="6"/>
        <v>-1425042.0893058204</v>
      </c>
      <c r="J50" s="96">
        <f t="shared" si="6"/>
        <v>-1398197.1299358413</v>
      </c>
      <c r="K50" s="96">
        <f t="shared" si="6"/>
        <v>-1372091.1324665777</v>
      </c>
      <c r="L50" s="96">
        <f t="shared" si="6"/>
        <v>-1346756.6112216609</v>
      </c>
      <c r="M50" s="96">
        <f t="shared" si="6"/>
        <v>-1322227.5111549618</v>
      </c>
      <c r="N50" s="96">
        <f t="shared" si="6"/>
        <v>-1298539.2707983227</v>
      </c>
      <c r="O50" s="96">
        <f t="shared" si="6"/>
        <v>-1275728.8879789854</v>
      </c>
      <c r="P50" s="96">
        <f t="shared" si="6"/>
        <v>-1253834.988428592</v>
      </c>
      <c r="Q50" s="96">
        <f t="shared" si="6"/>
        <v>-1232897.8974109753</v>
      </c>
      <c r="R50" s="96">
        <f t="shared" si="6"/>
        <v>-1212959.7145015781</v>
      </c>
      <c r="S50" s="96">
        <f t="shared" si="6"/>
        <v>-1237703.9396797605</v>
      </c>
      <c r="T50" s="96">
        <f t="shared" si="6"/>
        <v>-1263536.9107657829</v>
      </c>
      <c r="U50" s="96">
        <f t="shared" si="6"/>
        <v>-1290506.5325795906</v>
      </c>
      <c r="V50" s="96">
        <f t="shared" si="6"/>
        <v>-1318662.8177532055</v>
      </c>
      <c r="W50" s="96">
        <f t="shared" si="6"/>
        <v>-1348057.9794744595</v>
      </c>
      <c r="X50" s="96">
        <f t="shared" si="6"/>
        <v>-1378746.5283114489</v>
      </c>
      <c r="Y50" s="96">
        <f t="shared" si="6"/>
        <v>-1410785.3732972655</v>
      </c>
      <c r="Z50" s="96">
        <f t="shared" si="6"/>
        <v>-1444233.9274624581</v>
      </c>
      <c r="AA50" s="96">
        <f t="shared" si="6"/>
        <v>-1479154.2180109192</v>
      </c>
    </row>
    <row r="51" spans="1:27">
      <c r="A51" s="97" t="s">
        <v>32</v>
      </c>
      <c r="B51" s="96"/>
      <c r="C51" s="96">
        <f>-IF(C37&lt;=B20,0,B19*(1+C39)*B18)</f>
        <v>-270467.98786983051</v>
      </c>
      <c r="D51" s="96">
        <f>-IF(D37&lt;=B20,0,B19*(1+D39)*B18)</f>
        <v>-282368.57933610311</v>
      </c>
      <c r="E51" s="96">
        <f>-IF(E37&lt;=B20,0,B19*(1+E39)*B18)</f>
        <v>-294792.79682689166</v>
      </c>
      <c r="F51" s="96">
        <f>-IF(F37&lt;=B20,0,B19*(1+F39)*B18)</f>
        <v>-307763.67988727492</v>
      </c>
      <c r="G51" s="96">
        <f>-IF(G37&lt;=B20,0,B19*(1+G39)*B18)</f>
        <v>-321305.28180231497</v>
      </c>
      <c r="H51" s="96">
        <f>-IF(H37&lt;=B20,0,B19*(1+H39)*B18)</f>
        <v>-335442.71420161688</v>
      </c>
      <c r="I51" s="96">
        <f>-IF(I37&lt;=B20,0,B19*(1+I39)*B18)</f>
        <v>-350202.19362648804</v>
      </c>
      <c r="J51" s="96">
        <f>-IF(J37&lt;=B20,0,B19*(1+J39)*B18)</f>
        <v>-365611.09014605358</v>
      </c>
      <c r="K51" s="96">
        <f>-IF(K37&lt;=B20,0,B19*(1+K39)*B18)</f>
        <v>-381697.9781124799</v>
      </c>
      <c r="L51" s="96">
        <f>-IF(L37&lt;=B20,0,B19*(1+L39)*B18)</f>
        <v>-398492.68914942903</v>
      </c>
      <c r="M51" s="96">
        <f>-IF(M37&lt;=B20,0,B19*(1+M39)*B18)</f>
        <v>-416026.36747200391</v>
      </c>
      <c r="N51" s="96">
        <f>-IF(N37&lt;=B20,0,B19*(1+N39)*B18)</f>
        <v>-434331.52764077211</v>
      </c>
      <c r="O51" s="96">
        <f>-IF(O37&lt;=B20,0,B19*(1+O39)*B18)</f>
        <v>-453442.11485696613</v>
      </c>
      <c r="P51" s="96">
        <f>-IF(P37&lt;=B20,0,B19*(1+P39)*B18)</f>
        <v>-473393.56791067263</v>
      </c>
      <c r="Q51" s="96">
        <f>-IF(Q37&lt;=B20,0,B19*(1+Q39)*B18)</f>
        <v>-494222.88489874225</v>
      </c>
      <c r="R51" s="96">
        <f>-IF(R37&lt;=B20,0,B19*(1+R39)*B18)</f>
        <v>-515968.6918342869</v>
      </c>
      <c r="S51" s="96">
        <f>-IF(S37&lt;=B20,0,B19*(1+S39)*B18)</f>
        <v>-538671.31427499559</v>
      </c>
      <c r="T51" s="96">
        <f>-IF(T37&lt;=B20,0,B19*(1+T39)*B18)</f>
        <v>-562372.85210309539</v>
      </c>
      <c r="U51" s="96">
        <f>-IF(U37&lt;=B20,0,B19*(1+U39)*B18)</f>
        <v>-587117.25759563153</v>
      </c>
      <c r="V51" s="96">
        <f>-IF(V37&lt;=B20,0,B19*(1+V39)*B18)</f>
        <v>-612950.41692983941</v>
      </c>
      <c r="W51" s="96">
        <f>-IF(W37&lt;=B20,0,B19*(1+W39)*B18)</f>
        <v>-639920.23527475237</v>
      </c>
      <c r="X51" s="96">
        <f>-IF(X37&lt;=B20,0,B19*(1+X39)*B18)</f>
        <v>-668076.72562684154</v>
      </c>
      <c r="Y51" s="96">
        <f>-IF(Y37&lt;=B20,0,B19*(1+Y39)*B18)</f>
        <v>-697472.10155442252</v>
      </c>
      <c r="Z51" s="96">
        <f>-IF(Z37&lt;=B20,0,B19*(1+Z39)*B18)</f>
        <v>-728160.87402281712</v>
      </c>
      <c r="AA51" s="96">
        <f>-IF(AA37&lt;=B20,0,B19*(1+AA39)*B18)</f>
        <v>-760199.95247982105</v>
      </c>
    </row>
    <row r="52" spans="1:27">
      <c r="A52" s="97" t="str">
        <f>A22</f>
        <v>Прочие расходы при эксплуатации объекта, руб. без НДС</v>
      </c>
      <c r="B52" s="96"/>
      <c r="C52" s="96">
        <f>-IF(C37&lt;=B23,0,B22*(1+C39)*B18)</f>
        <v>-24322.660779661019</v>
      </c>
      <c r="D52" s="96">
        <f>-IF(D37&lt;=B23,0,B22*(1+D39)*B18)</f>
        <v>-25392.857853966107</v>
      </c>
      <c r="E52" s="96">
        <f>-IF(E37&lt;=B23,0,B22*(1+E39)*B18)</f>
        <v>-26510.143599540617</v>
      </c>
      <c r="F52" s="96">
        <f>-IF(F37&lt;=B23,0,B22*(1+F39)*B18)</f>
        <v>-27676.589917920406</v>
      </c>
      <c r="G52" s="96">
        <f>-IF(G37&lt;=B23,0,B22*(1+G39)*B18)</f>
        <v>-28894.359874308906</v>
      </c>
      <c r="H52" s="96">
        <f>-IF(H37&lt;=B23,0,B22*(1+H39)*B18)</f>
        <v>-30165.711708778497</v>
      </c>
      <c r="I52" s="96">
        <f>-IF(I37&lt;=B23,0,B22*(1+I39)*B18)</f>
        <v>-31493.003023964757</v>
      </c>
      <c r="J52" s="96">
        <f>-IF(J37&lt;=B23,0,B22*(1+J39)*B18)</f>
        <v>-32878.69515701921</v>
      </c>
      <c r="K52" s="96">
        <f>-IF(K37&lt;=B23,0,B22*(1+K39)*B18)</f>
        <v>-34325.357743928049</v>
      </c>
      <c r="L52" s="96">
        <f>-IF(L37&lt;=B23,0,B22*(1+L39)*B18)</f>
        <v>-35835.673484660882</v>
      </c>
      <c r="M52" s="96">
        <f>-IF(M37&lt;=B23,0,B22*(1+M39)*B18)</f>
        <v>-37412.443117985968</v>
      </c>
      <c r="N52" s="96">
        <f>-IF(N37&lt;=B23,0,B22*(1+N39)*B18)</f>
        <v>-39058.590615177352</v>
      </c>
      <c r="O52" s="96">
        <f>-IF(O37&lt;=B23,0,B22*(1+O39)*B18)</f>
        <v>-40777.168602245154</v>
      </c>
      <c r="P52" s="96">
        <f>-IF(P37&lt;=B23,0,B22*(1+P39)*B18)</f>
        <v>-42571.364020743946</v>
      </c>
      <c r="Q52" s="96">
        <f>-IF(Q37&lt;=B23,0,B22*(1+Q39)*B18)</f>
        <v>-44444.504037656683</v>
      </c>
      <c r="R52" s="96">
        <f>-IF(R37&lt;=B23,0,B22*(1+R39)*B18)</f>
        <v>-46400.06221531357</v>
      </c>
      <c r="S52" s="96">
        <f>-IF(S37&lt;=B23,0,B22*(1+S39)*B18)</f>
        <v>-48441.664952787374</v>
      </c>
      <c r="T52" s="96">
        <f>-IF(T37&lt;=B23,0,B22*(1+T39)*B18)</f>
        <v>-50573.098210710021</v>
      </c>
      <c r="U52" s="96">
        <f>-IF(U37&lt;=B23,0,B22*(1+U39)*B18)</f>
        <v>-52798.314531981261</v>
      </c>
      <c r="V52" s="96">
        <f>-IF(V37&lt;=B23,0,B22*(1+V39)*B18)</f>
        <v>-55121.440371388439</v>
      </c>
      <c r="W52" s="96">
        <f>-IF(W37&lt;=B23,0,B22*(1+W39)*B18)</f>
        <v>-57546.78374772954</v>
      </c>
      <c r="X52" s="96">
        <f>-IF(X37&lt;=B23,0,B22*(1+X39)*B18)</f>
        <v>-60078.842232629642</v>
      </c>
      <c r="Y52" s="96">
        <f>-IF(Y37&lt;=B23,0,B22*(1+Y39)*B18)</f>
        <v>-62722.311290865342</v>
      </c>
      <c r="Z52" s="96">
        <f>-IF(Z37&lt;=B23,0,B22*(1+Z39)*B18)</f>
        <v>-65482.092987663418</v>
      </c>
      <c r="AA52" s="96">
        <f>-IF(AA37&lt;=B23,0,B22*(1+AA39)*B18)</f>
        <v>-68363.305079120604</v>
      </c>
    </row>
    <row r="53" spans="1:27">
      <c r="A53" s="97" t="s">
        <v>290</v>
      </c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96"/>
    </row>
    <row r="54" spans="1:27">
      <c r="A54" s="97" t="s">
        <v>290</v>
      </c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  <c r="AA54" s="96"/>
    </row>
    <row r="55" spans="1:27">
      <c r="A55" s="97" t="s">
        <v>290</v>
      </c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96"/>
    </row>
    <row r="56" spans="1:27">
      <c r="A56" s="97" t="s">
        <v>33</v>
      </c>
      <c r="B56" s="96"/>
      <c r="C56" s="96">
        <f>-27.12/1.18*1000000*2.2%</f>
        <v>-505627.1186440679</v>
      </c>
      <c r="D56" s="96">
        <f>-(((27.12/1.18*1000000+27.12/1.18*1000000)-C58-D58)*2.2%)</f>
        <v>-1112379.6610169492</v>
      </c>
      <c r="E56" s="96">
        <f>-((27.12/1.18*1000000+27.12/1.18*1000000+11.28/1.18*1000000)-D58-C58-E58)*2.2%</f>
        <v>-1404122.0338983051</v>
      </c>
      <c r="F56" s="96">
        <f>-(($B$15+$B$16)*$B$18+($B$15+$B$16)*$B$18+SUM(A58:F58))/2*2.2%</f>
        <v>-1174265.5367231641</v>
      </c>
      <c r="G56" s="96">
        <f>-(($B$15+$B$16)*$B$18+($B$15+$B$16)*$B$18+SUM(B58:G58))/2*2.2%</f>
        <v>-1130625.9887005652</v>
      </c>
      <c r="H56" s="96">
        <f>-((B15+B16)*B18+(B15+B16)*B18+SUM(B58:H58))/2*2.2%</f>
        <v>-1086986.4406779662</v>
      </c>
      <c r="I56" s="96">
        <f>-((B15+B16)*B18+(B15+B16)*B18+SUM(B58:I58))/2*2.2%</f>
        <v>-1043346.8926553675</v>
      </c>
      <c r="J56" s="96">
        <f>-((B15+B16)*B18+(B15+B16)*B18+SUM(B58:J58))/2*2.2%</f>
        <v>-999707.34463276854</v>
      </c>
      <c r="K56" s="96">
        <f>-((B15+B16)*B18+(B15+B16)*B18+SUM(B58:K58))/2*2.2%</f>
        <v>-956067.79661016969</v>
      </c>
      <c r="L56" s="96">
        <f>-((B15+B16)*B18+(B15+B16)*B18+SUM(B58:L58))/2*2.2%</f>
        <v>-912428.24858757085</v>
      </c>
      <c r="M56" s="96">
        <f>-((B15+B16)*B18+(B15+B16)*B18+SUM(B58:M58))/2*2.2%</f>
        <v>-868788.70056497201</v>
      </c>
      <c r="N56" s="96">
        <f>-((B15+B16)*B18+(B15+B16)*B18+SUM(B58:N58))/2*2.2%</f>
        <v>-825149.15254237317</v>
      </c>
      <c r="O56" s="96">
        <f>-((B15+B16)*B18+(B15+B16)*B18+SUM(B58:O58))/2*2.2%</f>
        <v>-781509.60451977421</v>
      </c>
      <c r="P56" s="96">
        <f>-((B15+B16)*B18+(B15+B16)*B18+SUM(B58:P58))/2*2.2%</f>
        <v>-737870.05649717536</v>
      </c>
      <c r="Q56" s="96">
        <f>-((B15+B16)*B18+(B15+B16)*B18+SUM(B58:Q58))/2*2.2%</f>
        <v>-694230.50847457652</v>
      </c>
      <c r="R56" s="96">
        <f>-((B15+B16)*B18+(B15+B16)*B18+SUM(B58:R58))/2*2.2%</f>
        <v>-650590.96045197768</v>
      </c>
      <c r="S56" s="96">
        <f>-((B15+B16)*B18+(B15+B16)*B18+SUM(B58:S58))/2*2.2%</f>
        <v>-650590.96045197768</v>
      </c>
      <c r="T56" s="96">
        <f>-((B15+B16)*B18+(B15+B16)*B18+SUM(B58:T58))/2*2.2%</f>
        <v>-650590.96045197768</v>
      </c>
      <c r="U56" s="96">
        <f>-((B15+B16)*B18+(B15+B16)*B18+SUM(B58:U58))/2*2.2%</f>
        <v>-650590.96045197768</v>
      </c>
      <c r="V56" s="96">
        <f>-((B15+B16)*B18+(B15+B16)*B18+SUM(B58:V58))/2*2.2%</f>
        <v>-650590.96045197768</v>
      </c>
      <c r="W56" s="96">
        <f>-((B15+B16)*B18+(B15+B16)*B18+SUM(B58:W58))/2*2.2%</f>
        <v>-650590.96045197768</v>
      </c>
      <c r="X56" s="96">
        <f>-((B15+B16)*B18+(B15+B16)*B18+SUM(B58:X58))/2*2.2%</f>
        <v>-650590.96045197768</v>
      </c>
      <c r="Y56" s="96">
        <f>-((B15+B16)*B18+(B15+B16)*B18+SUM(B58:Y58))/2*2.2%</f>
        <v>-650590.96045197768</v>
      </c>
      <c r="Z56" s="96">
        <f>-((B15+B16)*B18+(B15+B16)*B18+SUM(B58:Z58))/2*2.2%</f>
        <v>-650590.96045197768</v>
      </c>
      <c r="AA56" s="96">
        <f>-((B15+B16)*B18+(B15+B16)*B18+SUM(B58:AA58))/2*2.2%</f>
        <v>-650590.96045197768</v>
      </c>
    </row>
    <row r="57" spans="1:27">
      <c r="A57" s="98" t="s">
        <v>114</v>
      </c>
      <c r="B57" s="95"/>
      <c r="C57" s="95">
        <f>C49+C50</f>
        <v>6876175.4530454231</v>
      </c>
      <c r="D57" s="95">
        <f t="shared" ref="D57:AA57" si="7">D49+D50</f>
        <v>6594222.2238268796</v>
      </c>
      <c r="E57" s="95">
        <f t="shared" si="7"/>
        <v>6641570.3338786522</v>
      </c>
      <c r="F57" s="95">
        <f t="shared" si="7"/>
        <v>7225437.2952359803</v>
      </c>
      <c r="G57" s="95">
        <f t="shared" si="7"/>
        <v>7638663.7678647814</v>
      </c>
      <c r="H57" s="95">
        <f t="shared" si="7"/>
        <v>8068152.065176256</v>
      </c>
      <c r="I57" s="95">
        <f t="shared" si="7"/>
        <v>8514617.7074564416</v>
      </c>
      <c r="J57" s="95">
        <f t="shared" si="7"/>
        <v>8978807.6978839599</v>
      </c>
      <c r="K57" s="95">
        <f t="shared" si="7"/>
        <v>9461501.9077772964</v>
      </c>
      <c r="L57" s="95">
        <f t="shared" si="7"/>
        <v>9963514.5227929428</v>
      </c>
      <c r="M57" s="95">
        <f t="shared" si="7"/>
        <v>10485695.552756287</v>
      </c>
      <c r="N57" s="95">
        <f t="shared" si="7"/>
        <v>11028932.407925021</v>
      </c>
      <c r="O57" s="95">
        <f t="shared" si="7"/>
        <v>11594151.544608185</v>
      </c>
      <c r="P57" s="95">
        <f t="shared" si="7"/>
        <v>12182320.183192415</v>
      </c>
      <c r="Q57" s="95">
        <f t="shared" si="7"/>
        <v>12794448.101761358</v>
      </c>
      <c r="R57" s="95">
        <f t="shared" si="7"/>
        <v>13431589.508634338</v>
      </c>
      <c r="S57" s="95">
        <f t="shared" si="7"/>
        <v>14051205.449274138</v>
      </c>
      <c r="T57" s="95">
        <f t="shared" si="7"/>
        <v>14698084.491302088</v>
      </c>
      <c r="U57" s="95">
        <f t="shared" si="7"/>
        <v>15373426.211179268</v>
      </c>
      <c r="V57" s="95">
        <f t="shared" si="7"/>
        <v>16078482.966731044</v>
      </c>
      <c r="W57" s="95">
        <f t="shared" si="7"/>
        <v>16814562.219527096</v>
      </c>
      <c r="X57" s="95">
        <f t="shared" si="7"/>
        <v>17583028.959446173</v>
      </c>
      <c r="Y57" s="95">
        <f t="shared" si="7"/>
        <v>18385308.235921692</v>
      </c>
      <c r="Z57" s="95">
        <f t="shared" si="7"/>
        <v>19222887.800562136</v>
      </c>
      <c r="AA57" s="95">
        <f t="shared" si="7"/>
        <v>20097320.866046757</v>
      </c>
    </row>
    <row r="58" spans="1:27">
      <c r="A58" s="97" t="s">
        <v>278</v>
      </c>
      <c r="B58" s="96"/>
      <c r="C58" s="96">
        <f>-27.12/1.18*1000000/15</f>
        <v>-1532203.3898305085</v>
      </c>
      <c r="D58" s="96">
        <f>-(27.12/1.18*1000000/15+27.12/1.18*1000000/15)</f>
        <v>-3064406.779661017</v>
      </c>
      <c r="E58" s="96">
        <f>-(27.12/1.18*1000000/15+27.12/1.18*1000000/15+11.28/1.18*1000000/15)</f>
        <v>-3701694.9152542371</v>
      </c>
      <c r="F58" s="96">
        <f>IF(B15-ABS(SUM(B58:E58))&gt;0,-B15/B17,0)</f>
        <v>-3967231.6384180794</v>
      </c>
      <c r="G58" s="96">
        <f>IF(B15-ABS(SUM(B58:F58))&gt;0,-B15/B17,0)</f>
        <v>-3967231.6384180794</v>
      </c>
      <c r="H58" s="96">
        <f>IF(B15-ABS(SUM(B58:G58))&gt;0,-B15/B17,0)</f>
        <v>-3967231.6384180794</v>
      </c>
      <c r="I58" s="96">
        <f>IF(B15-ABS(SUM(B58:H58))&gt;0,-B15/B17,0)</f>
        <v>-3967231.6384180794</v>
      </c>
      <c r="J58" s="96">
        <f>IF(B15-ABS(SUM(B58:I58))&gt;0,-B15/B17,0)</f>
        <v>-3967231.6384180794</v>
      </c>
      <c r="K58" s="96">
        <f>IF(B15-ABS(SUM(B58:J58))&gt;0,-B15/B17,0)</f>
        <v>-3967231.6384180794</v>
      </c>
      <c r="L58" s="96">
        <f>IF(B15-ABS(SUM(B58:K58))&gt;0,-B15/B17,0)</f>
        <v>-3967231.6384180794</v>
      </c>
      <c r="M58" s="96">
        <f>IF(B15-ABS(SUM(B58:L58))&gt;0,-B15/B17,0)</f>
        <v>-3967231.6384180794</v>
      </c>
      <c r="N58" s="96">
        <f>IF(B15-ABS(SUM(B58:M58))&gt;0,-B15/B17,0)</f>
        <v>-3967231.6384180794</v>
      </c>
      <c r="O58" s="96">
        <f>IF(B15-ABS(SUM(B58:N58))&gt;0,-B15/B17,0)</f>
        <v>-3967231.6384180794</v>
      </c>
      <c r="P58" s="96">
        <f>IF(B15-ABS(SUM(B58:O58))&gt;0,-B15/B17,0)</f>
        <v>-3967231.6384180794</v>
      </c>
      <c r="Q58" s="96">
        <f>IF(B15-ABS(SUM(B58:P58))&gt;0,-B15/B17,0)</f>
        <v>-3967231.6384180794</v>
      </c>
      <c r="R58" s="96">
        <f>IF(B15-ABS(SUM(B58:Q58))&gt;0,-B15/B17,0)</f>
        <v>-3967231.6384180794</v>
      </c>
      <c r="S58" s="96">
        <f>IF(B15-ABS(SUM(B58:R58))&gt;0,-B15/B17,0)</f>
        <v>0</v>
      </c>
      <c r="T58" s="96">
        <f>IF(B15-ABS(SUM(B58:S58))&gt;0,-B15/B17,0)</f>
        <v>0</v>
      </c>
      <c r="U58" s="96">
        <f>IF(B15-ABS(SUM(B58:T58))&gt;0,-B15/B17,0)</f>
        <v>0</v>
      </c>
      <c r="V58" s="96">
        <f>IF(B15-ABS(SUM(B58:U58))&gt;0,-B15/B17,0)</f>
        <v>0</v>
      </c>
      <c r="W58" s="96">
        <f>IF(B15-ABS(SUM(B58:V58))&gt;0,-B15/B17,0)</f>
        <v>0</v>
      </c>
      <c r="X58" s="96">
        <f>IF(B15-ABS(SUM(B58:W58))&gt;0,-B15/B17,0)</f>
        <v>0</v>
      </c>
      <c r="Y58" s="96">
        <f>IF(B15-ABS(SUM(B58:X58))&gt;0,-B15/B17,0)</f>
        <v>0</v>
      </c>
      <c r="Z58" s="96">
        <f>IF(B15-ABS(SUM(B58:Y58))&gt;0,-B15/B17,0)</f>
        <v>0</v>
      </c>
      <c r="AA58" s="96">
        <f>IF(B15-ABS(SUM(B58:Z58))&gt;0,-B15/B17,0)</f>
        <v>0</v>
      </c>
    </row>
    <row r="59" spans="1:27">
      <c r="A59" s="98" t="s">
        <v>34</v>
      </c>
      <c r="B59" s="95"/>
      <c r="C59" s="95">
        <f>C57+C58</f>
        <v>5343972.0632149149</v>
      </c>
      <c r="D59" s="95">
        <f t="shared" ref="D59:AA59" si="8">D57+D58</f>
        <v>3529815.4441658626</v>
      </c>
      <c r="E59" s="95">
        <f t="shared" si="8"/>
        <v>2939875.4186244151</v>
      </c>
      <c r="F59" s="95">
        <f t="shared" si="8"/>
        <v>3258205.6568179009</v>
      </c>
      <c r="G59" s="95">
        <f t="shared" si="8"/>
        <v>3671432.1294467021</v>
      </c>
      <c r="H59" s="95">
        <f t="shared" si="8"/>
        <v>4100920.4267581766</v>
      </c>
      <c r="I59" s="95">
        <f t="shared" si="8"/>
        <v>4547386.0690383622</v>
      </c>
      <c r="J59" s="95">
        <f t="shared" si="8"/>
        <v>5011576.0594658805</v>
      </c>
      <c r="K59" s="95">
        <f t="shared" si="8"/>
        <v>5494270.269359217</v>
      </c>
      <c r="L59" s="95">
        <f t="shared" si="8"/>
        <v>5996282.8843748635</v>
      </c>
      <c r="M59" s="95">
        <f t="shared" si="8"/>
        <v>6518463.9143382078</v>
      </c>
      <c r="N59" s="95">
        <f t="shared" si="8"/>
        <v>7061700.7695069415</v>
      </c>
      <c r="O59" s="95">
        <f t="shared" si="8"/>
        <v>7626919.9061901057</v>
      </c>
      <c r="P59" s="95">
        <f t="shared" si="8"/>
        <v>8215088.5447743358</v>
      </c>
      <c r="Q59" s="95">
        <f t="shared" si="8"/>
        <v>8827216.4633432776</v>
      </c>
      <c r="R59" s="95">
        <f t="shared" si="8"/>
        <v>9464357.8702162579</v>
      </c>
      <c r="S59" s="95">
        <f t="shared" si="8"/>
        <v>14051205.449274138</v>
      </c>
      <c r="T59" s="95">
        <f t="shared" si="8"/>
        <v>14698084.491302088</v>
      </c>
      <c r="U59" s="95">
        <f t="shared" si="8"/>
        <v>15373426.211179268</v>
      </c>
      <c r="V59" s="95">
        <f t="shared" si="8"/>
        <v>16078482.966731044</v>
      </c>
      <c r="W59" s="95">
        <f t="shared" si="8"/>
        <v>16814562.219527096</v>
      </c>
      <c r="X59" s="95">
        <f t="shared" si="8"/>
        <v>17583028.959446173</v>
      </c>
      <c r="Y59" s="95">
        <f t="shared" si="8"/>
        <v>18385308.235921692</v>
      </c>
      <c r="Z59" s="95">
        <f t="shared" si="8"/>
        <v>19222887.800562136</v>
      </c>
      <c r="AA59" s="95">
        <f t="shared" si="8"/>
        <v>20097320.866046757</v>
      </c>
    </row>
    <row r="60" spans="1:27">
      <c r="A60" s="97" t="s">
        <v>62</v>
      </c>
      <c r="B60" s="96">
        <f t="shared" ref="B60:AA60" si="9">-B46</f>
        <v>0</v>
      </c>
      <c r="C60" s="96">
        <f>-C46</f>
        <v>-3900453.559322034</v>
      </c>
      <c r="D60" s="96">
        <f t="shared" si="9"/>
        <v>-7474431.1016949164</v>
      </c>
      <c r="E60" s="96">
        <f t="shared" si="9"/>
        <v>-9096743.6440677997</v>
      </c>
      <c r="F60" s="96">
        <f t="shared" si="9"/>
        <v>-9096743.6440677997</v>
      </c>
      <c r="G60" s="96">
        <f t="shared" si="9"/>
        <v>-8446976.2409200985</v>
      </c>
      <c r="H60" s="96">
        <f t="shared" si="9"/>
        <v>-7147441.4346246999</v>
      </c>
      <c r="I60" s="96">
        <f t="shared" si="9"/>
        <v>-5847906.6283293003</v>
      </c>
      <c r="J60" s="96">
        <f t="shared" si="9"/>
        <v>-4548371.8220339008</v>
      </c>
      <c r="K60" s="96">
        <f t="shared" si="9"/>
        <v>-3248837.0157385012</v>
      </c>
      <c r="L60" s="96">
        <f t="shared" si="9"/>
        <v>-1949302.2094431012</v>
      </c>
      <c r="M60" s="96">
        <f t="shared" si="9"/>
        <v>-649767.40314770152</v>
      </c>
      <c r="N60" s="96">
        <f t="shared" si="9"/>
        <v>-1.5805475413799286E-9</v>
      </c>
      <c r="O60" s="96">
        <f t="shared" si="9"/>
        <v>-1.5805475413799286E-9</v>
      </c>
      <c r="P60" s="96">
        <f t="shared" si="9"/>
        <v>-1.5805475413799286E-9</v>
      </c>
      <c r="Q60" s="96">
        <f t="shared" si="9"/>
        <v>-1.5805475413799286E-9</v>
      </c>
      <c r="R60" s="96">
        <f t="shared" si="9"/>
        <v>-1.5805475413799286E-9</v>
      </c>
      <c r="S60" s="96">
        <f t="shared" si="9"/>
        <v>-1.5805475413799286E-9</v>
      </c>
      <c r="T60" s="96">
        <f t="shared" si="9"/>
        <v>-1.5805475413799286E-9</v>
      </c>
      <c r="U60" s="96">
        <f t="shared" si="9"/>
        <v>-1.5805475413799286E-9</v>
      </c>
      <c r="V60" s="96">
        <f t="shared" si="9"/>
        <v>-1.5805475413799286E-9</v>
      </c>
      <c r="W60" s="96">
        <f t="shared" si="9"/>
        <v>-1.5805475413799286E-9</v>
      </c>
      <c r="X60" s="96">
        <f t="shared" si="9"/>
        <v>-1.5805475413799286E-9</v>
      </c>
      <c r="Y60" s="96">
        <f t="shared" si="9"/>
        <v>-1.5805475413799286E-9</v>
      </c>
      <c r="Z60" s="96">
        <f t="shared" si="9"/>
        <v>-1.5805475413799286E-9</v>
      </c>
      <c r="AA60" s="96">
        <f t="shared" si="9"/>
        <v>-1.5805475413799286E-9</v>
      </c>
    </row>
    <row r="61" spans="1:27">
      <c r="A61" s="98" t="s">
        <v>35</v>
      </c>
      <c r="B61" s="95"/>
      <c r="C61" s="95">
        <f t="shared" ref="C61:AA61" si="10">C59+C60</f>
        <v>1443518.5038928809</v>
      </c>
      <c r="D61" s="95">
        <f t="shared" si="10"/>
        <v>-3944615.6575290537</v>
      </c>
      <c r="E61" s="95">
        <f t="shared" si="10"/>
        <v>-6156868.2254433846</v>
      </c>
      <c r="F61" s="95">
        <f t="shared" si="10"/>
        <v>-5838537.9872498987</v>
      </c>
      <c r="G61" s="95">
        <f t="shared" si="10"/>
        <v>-4775544.1114733964</v>
      </c>
      <c r="H61" s="95">
        <f t="shared" si="10"/>
        <v>-3046521.0078665232</v>
      </c>
      <c r="I61" s="95">
        <f t="shared" si="10"/>
        <v>-1300520.5592909381</v>
      </c>
      <c r="J61" s="95">
        <f t="shared" si="10"/>
        <v>463204.23743197974</v>
      </c>
      <c r="K61" s="95">
        <f t="shared" si="10"/>
        <v>2245433.2536207158</v>
      </c>
      <c r="L61" s="95">
        <f t="shared" si="10"/>
        <v>4046980.6749317623</v>
      </c>
      <c r="M61" s="95">
        <f t="shared" si="10"/>
        <v>5868696.5111905066</v>
      </c>
      <c r="N61" s="95">
        <f t="shared" si="10"/>
        <v>7061700.7695069397</v>
      </c>
      <c r="O61" s="95">
        <f t="shared" si="10"/>
        <v>7626919.9061901039</v>
      </c>
      <c r="P61" s="95">
        <f t="shared" si="10"/>
        <v>8215088.5447743339</v>
      </c>
      <c r="Q61" s="95">
        <f t="shared" si="10"/>
        <v>8827216.4633432757</v>
      </c>
      <c r="R61" s="95">
        <f t="shared" si="10"/>
        <v>9464357.870216256</v>
      </c>
      <c r="S61" s="95">
        <f t="shared" si="10"/>
        <v>14051205.449274136</v>
      </c>
      <c r="T61" s="95">
        <f t="shared" si="10"/>
        <v>14698084.491302086</v>
      </c>
      <c r="U61" s="95">
        <f t="shared" si="10"/>
        <v>15373426.211179266</v>
      </c>
      <c r="V61" s="95">
        <f t="shared" si="10"/>
        <v>16078482.966731042</v>
      </c>
      <c r="W61" s="95">
        <f t="shared" si="10"/>
        <v>16814562.219527096</v>
      </c>
      <c r="X61" s="95">
        <f t="shared" si="10"/>
        <v>17583028.959446173</v>
      </c>
      <c r="Y61" s="95">
        <f t="shared" si="10"/>
        <v>18385308.235921692</v>
      </c>
      <c r="Z61" s="95">
        <f t="shared" si="10"/>
        <v>19222887.800562136</v>
      </c>
      <c r="AA61" s="95">
        <f t="shared" si="10"/>
        <v>20097320.866046757</v>
      </c>
    </row>
    <row r="62" spans="1:27">
      <c r="A62" s="97" t="s">
        <v>100</v>
      </c>
      <c r="B62" s="96"/>
      <c r="C62" s="96">
        <f>-C61*B26</f>
        <v>-288703.7007785762</v>
      </c>
      <c r="D62" s="96">
        <f>-D61*B26</f>
        <v>788923.13150581077</v>
      </c>
      <c r="E62" s="96">
        <f>-E61*B26</f>
        <v>1231373.6450886771</v>
      </c>
      <c r="F62" s="96">
        <f>-F61*B26</f>
        <v>1167707.5974499797</v>
      </c>
      <c r="G62" s="96">
        <f>-G61*B26</f>
        <v>955108.82229467935</v>
      </c>
      <c r="H62" s="96">
        <f>-H61*B26</f>
        <v>609304.20157330472</v>
      </c>
      <c r="I62" s="96">
        <f>-I61*B26</f>
        <v>260104.11185818762</v>
      </c>
      <c r="J62" s="96">
        <f>-J61*B26</f>
        <v>-92640.847486395956</v>
      </c>
      <c r="K62" s="96">
        <f>-K61*B26</f>
        <v>-449086.6507241432</v>
      </c>
      <c r="L62" s="96">
        <f>-L61*B26</f>
        <v>-809396.13498635252</v>
      </c>
      <c r="M62" s="96">
        <f>-M61*B26</f>
        <v>-1173739.3022381014</v>
      </c>
      <c r="N62" s="96">
        <f>-N61*B26</f>
        <v>-1412340.1539013879</v>
      </c>
      <c r="O62" s="96">
        <f>-O61*B26</f>
        <v>-1525383.9812380208</v>
      </c>
      <c r="P62" s="96">
        <f>-P61*B26</f>
        <v>-1643017.708954867</v>
      </c>
      <c r="Q62" s="96">
        <f>-Q61*B26</f>
        <v>-1765443.2926686553</v>
      </c>
      <c r="R62" s="96">
        <f>-R61*B26</f>
        <v>-1892871.5740432513</v>
      </c>
      <c r="S62" s="96">
        <f>-S61*B26</f>
        <v>-2810241.0898548272</v>
      </c>
      <c r="T62" s="96">
        <f>-T61*B26</f>
        <v>-2939616.8982604174</v>
      </c>
      <c r="U62" s="96">
        <f>-U61*B26</f>
        <v>-3074685.2422358533</v>
      </c>
      <c r="V62" s="96">
        <f>-V61*B26</f>
        <v>-3215696.5933462083</v>
      </c>
      <c r="W62" s="96">
        <f>-W61*B26</f>
        <v>-3362912.4439054192</v>
      </c>
      <c r="X62" s="96">
        <f>-X61*B26</f>
        <v>-3516605.7918892349</v>
      </c>
      <c r="Y62" s="96">
        <f>-Y61*B26</f>
        <v>-3677061.6471843384</v>
      </c>
      <c r="Z62" s="96">
        <f>-Z61*B26</f>
        <v>-3844577.5601124275</v>
      </c>
      <c r="AA62" s="96">
        <f>-AA61*B26</f>
        <v>-4019464.1732093515</v>
      </c>
    </row>
    <row r="63" spans="1:27" ht="16.5" thickBot="1">
      <c r="A63" s="99" t="s">
        <v>36</v>
      </c>
      <c r="B63" s="100"/>
      <c r="C63" s="100">
        <f t="shared" ref="C63:AA63" si="11">C61+C62</f>
        <v>1154814.8031143048</v>
      </c>
      <c r="D63" s="100">
        <f t="shared" si="11"/>
        <v>-3155692.5260232431</v>
      </c>
      <c r="E63" s="100">
        <f t="shared" si="11"/>
        <v>-4925494.5803547073</v>
      </c>
      <c r="F63" s="100">
        <f t="shared" si="11"/>
        <v>-4670830.389799919</v>
      </c>
      <c r="G63" s="100">
        <f t="shared" si="11"/>
        <v>-3820435.289178717</v>
      </c>
      <c r="H63" s="100">
        <f t="shared" si="11"/>
        <v>-2437216.8062932184</v>
      </c>
      <c r="I63" s="100">
        <f t="shared" si="11"/>
        <v>-1040416.4474327505</v>
      </c>
      <c r="J63" s="100">
        <f t="shared" si="11"/>
        <v>370563.38994558377</v>
      </c>
      <c r="K63" s="100">
        <f t="shared" si="11"/>
        <v>1796346.6028965726</v>
      </c>
      <c r="L63" s="100">
        <f t="shared" si="11"/>
        <v>3237584.5399454096</v>
      </c>
      <c r="M63" s="100">
        <f t="shared" si="11"/>
        <v>4694957.2089524055</v>
      </c>
      <c r="N63" s="100">
        <f t="shared" si="11"/>
        <v>5649360.6156055517</v>
      </c>
      <c r="O63" s="100">
        <f t="shared" si="11"/>
        <v>6101535.9249520833</v>
      </c>
      <c r="P63" s="100">
        <f t="shared" si="11"/>
        <v>6572070.835819467</v>
      </c>
      <c r="Q63" s="100">
        <f t="shared" si="11"/>
        <v>7061773.1706746202</v>
      </c>
      <c r="R63" s="100">
        <f t="shared" si="11"/>
        <v>7571486.2961730044</v>
      </c>
      <c r="S63" s="100">
        <f t="shared" si="11"/>
        <v>11240964.359419309</v>
      </c>
      <c r="T63" s="100">
        <f t="shared" si="11"/>
        <v>11758467.59304167</v>
      </c>
      <c r="U63" s="100">
        <f t="shared" si="11"/>
        <v>12298740.968943413</v>
      </c>
      <c r="V63" s="100">
        <f t="shared" si="11"/>
        <v>12862786.373384833</v>
      </c>
      <c r="W63" s="100">
        <f t="shared" si="11"/>
        <v>13451649.775621677</v>
      </c>
      <c r="X63" s="100">
        <f t="shared" si="11"/>
        <v>14066423.167556938</v>
      </c>
      <c r="Y63" s="100">
        <f t="shared" si="11"/>
        <v>14708246.588737354</v>
      </c>
      <c r="Z63" s="100">
        <f t="shared" si="11"/>
        <v>15378310.240449708</v>
      </c>
      <c r="AA63" s="100">
        <f t="shared" si="11"/>
        <v>16077856.692837406</v>
      </c>
    </row>
    <row r="64" spans="1:27" s="487" customFormat="1" ht="16.5" thickBot="1">
      <c r="A64" s="485"/>
      <c r="B64" s="486"/>
      <c r="C64" s="486">
        <v>1</v>
      </c>
      <c r="D64" s="486">
        <f t="shared" ref="D64:AA64" si="12">+C64+1</f>
        <v>2</v>
      </c>
      <c r="E64" s="486">
        <f t="shared" si="12"/>
        <v>3</v>
      </c>
      <c r="F64" s="486">
        <f t="shared" si="12"/>
        <v>4</v>
      </c>
      <c r="G64" s="486">
        <f t="shared" si="12"/>
        <v>5</v>
      </c>
      <c r="H64" s="486">
        <f t="shared" si="12"/>
        <v>6</v>
      </c>
      <c r="I64" s="486">
        <f t="shared" si="12"/>
        <v>7</v>
      </c>
      <c r="J64" s="486">
        <f t="shared" si="12"/>
        <v>8</v>
      </c>
      <c r="K64" s="486">
        <f t="shared" si="12"/>
        <v>9</v>
      </c>
      <c r="L64" s="486">
        <f t="shared" si="12"/>
        <v>10</v>
      </c>
      <c r="M64" s="486">
        <f t="shared" si="12"/>
        <v>11</v>
      </c>
      <c r="N64" s="486">
        <f t="shared" si="12"/>
        <v>12</v>
      </c>
      <c r="O64" s="486">
        <f>+N64+1</f>
        <v>13</v>
      </c>
      <c r="P64" s="486">
        <f>+O64+1</f>
        <v>14</v>
      </c>
      <c r="Q64" s="486">
        <f>+P64+1</f>
        <v>15</v>
      </c>
      <c r="R64" s="486">
        <f t="shared" si="12"/>
        <v>16</v>
      </c>
      <c r="S64" s="486">
        <f t="shared" si="12"/>
        <v>17</v>
      </c>
      <c r="T64" s="486">
        <f t="shared" si="12"/>
        <v>18</v>
      </c>
      <c r="U64" s="486">
        <f t="shared" si="12"/>
        <v>19</v>
      </c>
      <c r="V64" s="486">
        <f t="shared" si="12"/>
        <v>20</v>
      </c>
      <c r="W64" s="486">
        <f t="shared" si="12"/>
        <v>21</v>
      </c>
      <c r="X64" s="486">
        <f t="shared" si="12"/>
        <v>22</v>
      </c>
      <c r="Y64" s="486">
        <f t="shared" si="12"/>
        <v>23</v>
      </c>
      <c r="Z64" s="486">
        <f t="shared" si="12"/>
        <v>24</v>
      </c>
      <c r="AA64" s="486">
        <f t="shared" si="12"/>
        <v>25</v>
      </c>
    </row>
    <row r="65" spans="1:27" ht="47.25">
      <c r="A65" s="88" t="s">
        <v>37</v>
      </c>
      <c r="B65" s="78" t="str">
        <f>B48</f>
        <v>год окончания 
строительства объекта 2020</v>
      </c>
      <c r="C65" s="79">
        <f>C48</f>
        <v>2017</v>
      </c>
      <c r="D65" s="80">
        <f t="shared" ref="D65:AA65" si="13">C65+1</f>
        <v>2018</v>
      </c>
      <c r="E65" s="80">
        <f t="shared" si="13"/>
        <v>2019</v>
      </c>
      <c r="F65" s="80">
        <f t="shared" si="13"/>
        <v>2020</v>
      </c>
      <c r="G65" s="80">
        <f t="shared" si="13"/>
        <v>2021</v>
      </c>
      <c r="H65" s="80">
        <f t="shared" si="13"/>
        <v>2022</v>
      </c>
      <c r="I65" s="80">
        <f t="shared" si="13"/>
        <v>2023</v>
      </c>
      <c r="J65" s="80">
        <f t="shared" si="13"/>
        <v>2024</v>
      </c>
      <c r="K65" s="80">
        <f t="shared" si="13"/>
        <v>2025</v>
      </c>
      <c r="L65" s="80">
        <f t="shared" si="13"/>
        <v>2026</v>
      </c>
      <c r="M65" s="80">
        <f t="shared" si="13"/>
        <v>2027</v>
      </c>
      <c r="N65" s="80">
        <f t="shared" si="13"/>
        <v>2028</v>
      </c>
      <c r="O65" s="80">
        <f t="shared" si="13"/>
        <v>2029</v>
      </c>
      <c r="P65" s="80">
        <f t="shared" si="13"/>
        <v>2030</v>
      </c>
      <c r="Q65" s="80">
        <f t="shared" si="13"/>
        <v>2031</v>
      </c>
      <c r="R65" s="80">
        <f t="shared" si="13"/>
        <v>2032</v>
      </c>
      <c r="S65" s="80">
        <f t="shared" si="13"/>
        <v>2033</v>
      </c>
      <c r="T65" s="80">
        <f t="shared" si="13"/>
        <v>2034</v>
      </c>
      <c r="U65" s="80">
        <f t="shared" si="13"/>
        <v>2035</v>
      </c>
      <c r="V65" s="80">
        <f t="shared" si="13"/>
        <v>2036</v>
      </c>
      <c r="W65" s="80">
        <f t="shared" si="13"/>
        <v>2037</v>
      </c>
      <c r="X65" s="80">
        <f t="shared" si="13"/>
        <v>2038</v>
      </c>
      <c r="Y65" s="80">
        <f t="shared" si="13"/>
        <v>2039</v>
      </c>
      <c r="Z65" s="80">
        <f t="shared" si="13"/>
        <v>2040</v>
      </c>
      <c r="AA65" s="80">
        <f t="shared" si="13"/>
        <v>2041</v>
      </c>
    </row>
    <row r="66" spans="1:27">
      <c r="A66" s="94" t="s">
        <v>34</v>
      </c>
      <c r="B66" s="95">
        <f t="shared" ref="B66:AA66" si="14">B59</f>
        <v>0</v>
      </c>
      <c r="C66" s="95">
        <f>C59</f>
        <v>5343972.0632149149</v>
      </c>
      <c r="D66" s="95">
        <f t="shared" si="14"/>
        <v>3529815.4441658626</v>
      </c>
      <c r="E66" s="95">
        <f t="shared" si="14"/>
        <v>2939875.4186244151</v>
      </c>
      <c r="F66" s="95">
        <f t="shared" si="14"/>
        <v>3258205.6568179009</v>
      </c>
      <c r="G66" s="95">
        <f t="shared" si="14"/>
        <v>3671432.1294467021</v>
      </c>
      <c r="H66" s="95">
        <f t="shared" si="14"/>
        <v>4100920.4267581766</v>
      </c>
      <c r="I66" s="95">
        <f t="shared" si="14"/>
        <v>4547386.0690383622</v>
      </c>
      <c r="J66" s="95">
        <f t="shared" si="14"/>
        <v>5011576.0594658805</v>
      </c>
      <c r="K66" s="95">
        <f t="shared" si="14"/>
        <v>5494270.269359217</v>
      </c>
      <c r="L66" s="95">
        <f t="shared" si="14"/>
        <v>5996282.8843748635</v>
      </c>
      <c r="M66" s="95">
        <f t="shared" si="14"/>
        <v>6518463.9143382078</v>
      </c>
      <c r="N66" s="95">
        <f t="shared" si="14"/>
        <v>7061700.7695069415</v>
      </c>
      <c r="O66" s="95">
        <f t="shared" si="14"/>
        <v>7626919.9061901057</v>
      </c>
      <c r="P66" s="95">
        <f t="shared" si="14"/>
        <v>8215088.5447743358</v>
      </c>
      <c r="Q66" s="95">
        <f t="shared" si="14"/>
        <v>8827216.4633432776</v>
      </c>
      <c r="R66" s="95">
        <f t="shared" si="14"/>
        <v>9464357.8702162579</v>
      </c>
      <c r="S66" s="95">
        <f t="shared" si="14"/>
        <v>14051205.449274138</v>
      </c>
      <c r="T66" s="95">
        <f t="shared" si="14"/>
        <v>14698084.491302088</v>
      </c>
      <c r="U66" s="95">
        <f t="shared" si="14"/>
        <v>15373426.211179268</v>
      </c>
      <c r="V66" s="95">
        <f t="shared" si="14"/>
        <v>16078482.966731044</v>
      </c>
      <c r="W66" s="95">
        <f t="shared" si="14"/>
        <v>16814562.219527096</v>
      </c>
      <c r="X66" s="95">
        <f t="shared" si="14"/>
        <v>17583028.959446173</v>
      </c>
      <c r="Y66" s="95">
        <f t="shared" si="14"/>
        <v>18385308.235921692</v>
      </c>
      <c r="Z66" s="95">
        <f t="shared" si="14"/>
        <v>19222887.800562136</v>
      </c>
      <c r="AA66" s="95">
        <f t="shared" si="14"/>
        <v>20097320.866046757</v>
      </c>
    </row>
    <row r="67" spans="1:27">
      <c r="A67" s="97" t="s">
        <v>278</v>
      </c>
      <c r="B67" s="96">
        <f t="shared" ref="B67:AA67" si="15">-B58</f>
        <v>0</v>
      </c>
      <c r="C67" s="96">
        <f>-C58</f>
        <v>1532203.3898305085</v>
      </c>
      <c r="D67" s="96">
        <f t="shared" si="15"/>
        <v>3064406.779661017</v>
      </c>
      <c r="E67" s="96">
        <f t="shared" si="15"/>
        <v>3701694.9152542371</v>
      </c>
      <c r="F67" s="96">
        <f t="shared" si="15"/>
        <v>3967231.6384180794</v>
      </c>
      <c r="G67" s="96">
        <f t="shared" si="15"/>
        <v>3967231.6384180794</v>
      </c>
      <c r="H67" s="96">
        <f t="shared" si="15"/>
        <v>3967231.6384180794</v>
      </c>
      <c r="I67" s="96">
        <f t="shared" si="15"/>
        <v>3967231.6384180794</v>
      </c>
      <c r="J67" s="96">
        <f t="shared" si="15"/>
        <v>3967231.6384180794</v>
      </c>
      <c r="K67" s="96">
        <f t="shared" si="15"/>
        <v>3967231.6384180794</v>
      </c>
      <c r="L67" s="96">
        <f t="shared" si="15"/>
        <v>3967231.6384180794</v>
      </c>
      <c r="M67" s="96">
        <f t="shared" si="15"/>
        <v>3967231.6384180794</v>
      </c>
      <c r="N67" s="96">
        <f t="shared" si="15"/>
        <v>3967231.6384180794</v>
      </c>
      <c r="O67" s="96">
        <f t="shared" si="15"/>
        <v>3967231.6384180794</v>
      </c>
      <c r="P67" s="96">
        <f t="shared" si="15"/>
        <v>3967231.6384180794</v>
      </c>
      <c r="Q67" s="96">
        <f t="shared" si="15"/>
        <v>3967231.6384180794</v>
      </c>
      <c r="R67" s="96">
        <f t="shared" si="15"/>
        <v>3967231.6384180794</v>
      </c>
      <c r="S67" s="96">
        <f t="shared" si="15"/>
        <v>0</v>
      </c>
      <c r="T67" s="96">
        <f t="shared" si="15"/>
        <v>0</v>
      </c>
      <c r="U67" s="96">
        <f t="shared" si="15"/>
        <v>0</v>
      </c>
      <c r="V67" s="96">
        <f t="shared" si="15"/>
        <v>0</v>
      </c>
      <c r="W67" s="96">
        <f t="shared" si="15"/>
        <v>0</v>
      </c>
      <c r="X67" s="96">
        <f t="shared" si="15"/>
        <v>0</v>
      </c>
      <c r="Y67" s="96">
        <f t="shared" si="15"/>
        <v>0</v>
      </c>
      <c r="Z67" s="96">
        <f t="shared" si="15"/>
        <v>0</v>
      </c>
      <c r="AA67" s="96">
        <f t="shared" si="15"/>
        <v>0</v>
      </c>
    </row>
    <row r="68" spans="1:27">
      <c r="A68" s="97" t="s">
        <v>62</v>
      </c>
      <c r="B68" s="96">
        <f t="shared" ref="B68:AA68" si="16">B60</f>
        <v>0</v>
      </c>
      <c r="C68" s="96">
        <f t="shared" si="16"/>
        <v>-3900453.559322034</v>
      </c>
      <c r="D68" s="96">
        <f t="shared" si="16"/>
        <v>-7474431.1016949164</v>
      </c>
      <c r="E68" s="96">
        <f t="shared" si="16"/>
        <v>-9096743.6440677997</v>
      </c>
      <c r="F68" s="96">
        <f t="shared" si="16"/>
        <v>-9096743.6440677997</v>
      </c>
      <c r="G68" s="96">
        <f t="shared" si="16"/>
        <v>-8446976.2409200985</v>
      </c>
      <c r="H68" s="96">
        <f t="shared" si="16"/>
        <v>-7147441.4346246999</v>
      </c>
      <c r="I68" s="96">
        <f t="shared" si="16"/>
        <v>-5847906.6283293003</v>
      </c>
      <c r="J68" s="96">
        <f t="shared" si="16"/>
        <v>-4548371.8220339008</v>
      </c>
      <c r="K68" s="96">
        <f t="shared" si="16"/>
        <v>-3248837.0157385012</v>
      </c>
      <c r="L68" s="96">
        <f t="shared" si="16"/>
        <v>-1949302.2094431012</v>
      </c>
      <c r="M68" s="96">
        <f t="shared" si="16"/>
        <v>-649767.40314770152</v>
      </c>
      <c r="N68" s="96">
        <f t="shared" si="16"/>
        <v>-1.5805475413799286E-9</v>
      </c>
      <c r="O68" s="96">
        <f t="shared" si="16"/>
        <v>-1.5805475413799286E-9</v>
      </c>
      <c r="P68" s="96">
        <f t="shared" si="16"/>
        <v>-1.5805475413799286E-9</v>
      </c>
      <c r="Q68" s="96">
        <f t="shared" si="16"/>
        <v>-1.5805475413799286E-9</v>
      </c>
      <c r="R68" s="96">
        <f t="shared" si="16"/>
        <v>-1.5805475413799286E-9</v>
      </c>
      <c r="S68" s="96">
        <f t="shared" si="16"/>
        <v>-1.5805475413799286E-9</v>
      </c>
      <c r="T68" s="96">
        <f t="shared" si="16"/>
        <v>-1.5805475413799286E-9</v>
      </c>
      <c r="U68" s="96">
        <f t="shared" si="16"/>
        <v>-1.5805475413799286E-9</v>
      </c>
      <c r="V68" s="96">
        <f t="shared" si="16"/>
        <v>-1.5805475413799286E-9</v>
      </c>
      <c r="W68" s="96">
        <f t="shared" si="16"/>
        <v>-1.5805475413799286E-9</v>
      </c>
      <c r="X68" s="96">
        <f t="shared" si="16"/>
        <v>-1.5805475413799286E-9</v>
      </c>
      <c r="Y68" s="96">
        <f t="shared" si="16"/>
        <v>-1.5805475413799286E-9</v>
      </c>
      <c r="Z68" s="96">
        <f t="shared" si="16"/>
        <v>-1.5805475413799286E-9</v>
      </c>
      <c r="AA68" s="96">
        <f t="shared" si="16"/>
        <v>-1.5805475413799286E-9</v>
      </c>
    </row>
    <row r="69" spans="1:27">
      <c r="A69" s="97" t="s">
        <v>100</v>
      </c>
      <c r="B69" s="96">
        <f>IF(SUM(B62:B62)+SUM(A69:A69)&gt;0,0,SUM(B62:B62)-SUM(A69:A69))</f>
        <v>0</v>
      </c>
      <c r="C69" s="96">
        <f>IF(SUM(B62:C62)+SUM(A69:B69)&gt;0,0,SUM(B62:C62)-SUM(A69:B69))</f>
        <v>-288703.7007785762</v>
      </c>
      <c r="D69" s="96">
        <f>IF(SUM(B62:D62)+SUM(A69:C69)&gt;0,0,SUM(B62:D62)-SUM(A69:C69))</f>
        <v>0</v>
      </c>
      <c r="E69" s="96">
        <f>IF(SUM(B62:E62)+SUM(A69:D69)&gt;0,0,SUM(B62:E62)-SUM(A69:D69))</f>
        <v>0</v>
      </c>
      <c r="F69" s="96">
        <f>IF(SUM(B62:F62)+SUM(A69:E69)&gt;0,0,SUM(B62:F62)-SUM(A69:E69))</f>
        <v>0</v>
      </c>
      <c r="G69" s="96">
        <f>IF(SUM(B62:G62)+SUM(A69:F69)&gt;0,0,SUM(B62:G62)-SUM(A69:F69))</f>
        <v>0</v>
      </c>
      <c r="H69" s="96">
        <f>IF(SUM(B62:H62)+SUM(A69:G69)&gt;0,0,SUM(B62:H62)-SUM(A69:G69))</f>
        <v>0</v>
      </c>
      <c r="I69" s="96">
        <f>IF(SUM(B62:I62)+SUM(A69:H69)&gt;0,0,SUM(B62:I62)-SUM(A69:H69))</f>
        <v>0</v>
      </c>
      <c r="J69" s="96">
        <f>IF(SUM(B62:J62)+SUM(A69:I69)&gt;0,0,SUM(B62:J62)-SUM(A69:I69))</f>
        <v>0</v>
      </c>
      <c r="K69" s="96">
        <f>IF(SUM(B62:K62)+SUM(A69:J69)&gt;0,0,SUM(B62:K62)-SUM(A69:J69))</f>
        <v>0</v>
      </c>
      <c r="L69" s="96">
        <f>IF(SUM(B62:L62)+SUM(A69:K69)&gt;0,0,SUM(B62:L62)-SUM(A69:K69))</f>
        <v>0</v>
      </c>
      <c r="M69" s="96">
        <f>IF(SUM(B62:M62)+SUM(A69:L69)&gt;0,0,SUM(B62:M62)-SUM(A69:L69))</f>
        <v>0</v>
      </c>
      <c r="N69" s="96">
        <f>IF(SUM(B62:N62)+SUM(A69:M69)&gt;0,0,SUM(B62:N62)-SUM(A69:M69))</f>
        <v>0</v>
      </c>
      <c r="O69" s="96">
        <f>IF(SUM(B62:O62)+SUM(A69:N69)&gt;0,0,SUM(B62:O62)-SUM(A69:N69))</f>
        <v>-450065.56080376322</v>
      </c>
      <c r="P69" s="96">
        <f>IF(SUM(B62:P62)+SUM(A69:O69)&gt;0,0,SUM(B62:P62)-SUM(A69:O69))</f>
        <v>-1643017.7089548667</v>
      </c>
      <c r="Q69" s="96">
        <f>IF(SUM(B62:Q62)+SUM(A69:P69)&gt;0,0,SUM(B62:Q62)-SUM(A69:P69))</f>
        <v>-1765443.2926686555</v>
      </c>
      <c r="R69" s="96">
        <f>IF(SUM(B62:R62)+SUM(A69:Q69)&gt;0,0,SUM(B62:R62)-SUM(A69:Q69))</f>
        <v>-1892871.5740432516</v>
      </c>
      <c r="S69" s="96">
        <f>IF(SUM(B62:S62)+SUM(A69:R69)&gt;0,0,SUM(B62:S62)-SUM(A69:R69))</f>
        <v>-2810241.0898548272</v>
      </c>
      <c r="T69" s="96">
        <f>IF(SUM(B62:T62)+SUM(A69:S69)&gt;0,0,SUM(B62:T62)-SUM(A69:S69))</f>
        <v>-2939616.8982604183</v>
      </c>
      <c r="U69" s="96">
        <f>IF(SUM(B62:U62)+SUM(A69:T69)&gt;0,0,SUM(B62:U62)-SUM(A69:T69))</f>
        <v>-3074685.2422358543</v>
      </c>
      <c r="V69" s="96">
        <f>IF(SUM(B62:V62)+SUM(A69:U69)&gt;0,0,SUM(B62:V62)-SUM(A69:U69))</f>
        <v>-3215696.5933462083</v>
      </c>
      <c r="W69" s="96">
        <f>IF(SUM(B62:W62)+SUM(A69:V69)&gt;0,0,SUM(B62:W62)-SUM(A69:V69))</f>
        <v>-3362912.4439054206</v>
      </c>
      <c r="X69" s="96">
        <f>IF(SUM(B62:X62)+SUM(A69:W69)&gt;0,0,SUM(B62:X62)-SUM(A69:W69))</f>
        <v>-3516605.7918892354</v>
      </c>
      <c r="Y69" s="96">
        <f>IF(SUM(B62:Y62)+SUM(A69:X69)&gt;0,0,SUM(B62:Y62)-SUM(A69:X69))</f>
        <v>-3677061.6471843384</v>
      </c>
      <c r="Z69" s="96">
        <f>IF(SUM(B62:Z62)+SUM(A69:Y69)&gt;0,0,SUM(B62:Z62)-SUM(A69:Y69))</f>
        <v>-3844577.5601124279</v>
      </c>
      <c r="AA69" s="96">
        <f>IF(SUM(B62:AA62)+SUM(A69:Z69)&gt;0,0,SUM(B62:AA62)-SUM(A69:Z69))</f>
        <v>-4019464.1732093543</v>
      </c>
    </row>
    <row r="70" spans="1:27">
      <c r="A70" s="97" t="s">
        <v>38</v>
      </c>
      <c r="B70" s="101">
        <f>IF(((SUM(B49:B49)+SUM(B51:B55))+SUM(B72:B72))&lt;0,((SUM(B49:B49)+SUM(B51:B55))+SUM(B72:B72))*0.18-SUM(A70:A70),IF(SUM(A70:B70)&lt;0,0-SUM(A70:B70),0))</f>
        <v>-10711525.423728814</v>
      </c>
      <c r="C70" s="101">
        <f>IF(((SUM(B49:C49)+SUM(B51:C55))+SUM(B72:C72))&lt;0,((SUM(B49:C49)+SUM(B51:C55))+SUM(B72:C72))*0.18-SUM(A70:B70),IF(SUM(B70:B70)&lt;0,0-SUM(B70:B70),0))</f>
        <v>1328724.4629041087</v>
      </c>
      <c r="D70" s="101">
        <f>IF(((SUM(B49:D49)+SUM(B51:D55))+SUM(B72:D72))&lt;0,((SUM(B49:D49)+SUM(B51:D55))+SUM(B72:D72))*0.18-SUM(A70:C70),IF(SUM(B70:C70)&lt;0,0-SUM(B70:C70),0))</f>
        <v>1387188.3392718891</v>
      </c>
      <c r="E70" s="101">
        <f>IF(((SUM(B49:E49)+SUM(B51:E55))+SUM(B72:E72))&lt;0,((SUM(B49:E49)+SUM(B51:E55))+SUM(B72:E72))*0.18-SUM(A70:D70),IF(SUM(B70:D70)&lt;0,0-SUM(B70:D70),0))</f>
        <v>1448224.6261998517</v>
      </c>
      <c r="F70" s="101">
        <f>IF(((SUM(B49:F49)+SUM(B51:F55))+SUM(B72:F72))&lt;0,((SUM(B49:F49)+SUM(B51:F55))+SUM(B72:F72))*0.18-SUM(A70:E70),IF(SUM(B70:E70)&lt;0,0-SUM(B70:E70),0))</f>
        <v>1511946.509752647</v>
      </c>
      <c r="G70" s="101">
        <f>IF(((SUM(B49:G49)+SUM(B51:G55))+SUM(B72:G72))&lt;0,((SUM(B49:G49)+SUM(B51:G55))+SUM(B72:G72))*0.18-SUM(A70:F70),IF(SUM(B70:F70)&lt;0,0-SUM(B70:F70),0))</f>
        <v>1578472.1561817625</v>
      </c>
      <c r="H70" s="101">
        <f>IF(((SUM(B49:H49)+SUM(B51:H55))+SUM(B72:H72))&lt;0,((SUM(B49:H49)+SUM(B51:H55))+SUM(B72:H72))*0.18-SUM(A70:G70),IF(SUM(B70:G70)&lt;0,0-SUM(B70:G70),0))</f>
        <v>1647924.9310537607</v>
      </c>
      <c r="I70" s="101">
        <f>IF(((SUM(B49:I49)+SUM(B51:I55))+SUM(B72:I72))&lt;0,((SUM(B49:I49)+SUM(B51:I55))+SUM(B72:I72))*0.18-SUM(A70:H70),IF(SUM(B70:H70)&lt;0,0-SUM(B70:H70),0))</f>
        <v>1720433.6280201247</v>
      </c>
      <c r="J70" s="101">
        <f>IF(((SUM(B49:J49)+SUM(B51:J55))+SUM(B72:J72))&lt;0,((SUM(B49:J49)+SUM(B51:J55))+SUM(B72:J72))*0.18-SUM(A70:I70),IF(SUM(B70:I70)&lt;0,0-SUM(B70:I70),0))</f>
        <v>88610.770344669931</v>
      </c>
      <c r="K70" s="101">
        <f>IF(((SUM(B49:K49)+SUM(B51:K55))+SUM(B72:K72))&lt;0,((SUM(B49:K49)+SUM(B51:K55))+SUM(B72:K72))*0.18-SUM(A70:J70),IF(SUM(B70:J70)&lt;0,0-SUM(B70:J70),0))</f>
        <v>0</v>
      </c>
      <c r="L70" s="101">
        <f>IF(((SUM(B49:L49)+SUM(B51:L55))+SUM(B72:L72))&lt;0,((SUM(B49:L49)+SUM(B51:L55))+SUM(B72:L72))*0.18-SUM(A70:K70),IF(SUM(B70:K70)&lt;0,0-SUM(B70:K70),0))</f>
        <v>0</v>
      </c>
      <c r="M70" s="101">
        <f>IF(((SUM(B49:M49)+SUM(B51:M55))+SUM(B72:M72))&lt;0,((SUM(B49:M49)+SUM(B51:M55))+SUM(B72:M72))*0.18-SUM(A70:L70),IF(SUM(B70:L70)&lt;0,0-SUM(B70:L70),0))</f>
        <v>0</v>
      </c>
      <c r="N70" s="101">
        <f>IF(((SUM(B49:N49)+SUM(B51:N55))+SUM(B72:N72))&lt;0,((SUM(B49:N49)+SUM(B51:N55))+SUM(B72:N72))*0.18-SUM(A70:M70),IF(SUM(B70:M70)&lt;0,0-SUM(B70:M70),0))</f>
        <v>0</v>
      </c>
      <c r="O70" s="101">
        <f>IF(((SUM(B49:O49)+SUM(B51:O55))+SUM(B72:O72))&lt;0,((SUM(B49:O49)+SUM(B51:O55))+SUM(B72:O72))*0.18-SUM(A70:N70),IF(SUM(B70:N70)&lt;0,0-SUM(B70:N70),0))</f>
        <v>0</v>
      </c>
      <c r="P70" s="101">
        <f>IF(((SUM(B49:P49)+SUM(B51:P55))+SUM(B72:P72))&lt;0,((SUM(B49:P49)+SUM(B51:P55))+SUM(B72:P72))*0.18-SUM(A70:O70),IF(SUM(B70:O70)&lt;0,0-SUM(B70:O70),0))</f>
        <v>0</v>
      </c>
      <c r="Q70" s="101">
        <f>IF(((SUM(B49:Q49)+SUM(B51:Q55))+SUM(B72:Q72))&lt;0,((SUM(B49:Q49)+SUM(B51:Q55))+SUM(B72:Q72))*0.18-SUM(A70:P70),IF(SUM(B70:P70)&lt;0,0-SUM(B70:P70),0))</f>
        <v>0</v>
      </c>
      <c r="R70" s="101">
        <f>IF(((SUM(B49:R49)+SUM(B51:R55))+SUM(B72:R72))&lt;0,((SUM(B49:R49)+SUM(B51:R55))+SUM(B72:R72))*0.18-SUM(A70:Q70),IF(SUM(B70:Q70)&lt;0,0-SUM(B70:Q70),0))</f>
        <v>0</v>
      </c>
      <c r="S70" s="101">
        <f>IF(((SUM(B49:S49)+SUM(B51:S55))+SUM(B72:S72))&lt;0,((SUM(B49:S49)+SUM(B51:S55))+SUM(B72:S72))*0.18-SUM(A70:R70),IF(SUM(B70:R70)&lt;0,0-SUM(B70:R70),0))</f>
        <v>0</v>
      </c>
      <c r="T70" s="101">
        <f>IF(((SUM(B49:T49)+SUM(B51:T55))+SUM(B72:T72))&lt;0,((SUM(B49:T49)+SUM(B51:T55))+SUM(B72:T72))*0.18-SUM(A70:S70),IF(SUM(B70:S70)&lt;0,0-SUM(B70:S70),0))</f>
        <v>0</v>
      </c>
      <c r="U70" s="101">
        <f>IF(((SUM(B49:U49)+SUM(B51:U55))+SUM(B72:U72))&lt;0,((SUM(B49:U49)+SUM(B51:U55))+SUM(B72:U72))*0.18-SUM(A70:T70),IF(SUM(B70:T70)&lt;0,0-SUM(B70:T70),0))</f>
        <v>0</v>
      </c>
      <c r="V70" s="101">
        <f>IF(((SUM(B49:V49)+SUM(B51:V55))+SUM(B72:V72))&lt;0,((SUM(B49:V49)+SUM(B51:V55))+SUM(B72:V72))*0.18-SUM(A70:U70),IF(SUM(B70:U70)&lt;0,0-SUM(B70:U70),0))</f>
        <v>0</v>
      </c>
      <c r="W70" s="101">
        <f>IF(((SUM(B49:W49)+SUM(B51:W55))+SUM(B72:W72))&lt;0,((SUM(B49:W49)+SUM(B51:W55))+SUM(B72:W72))*0.18-SUM(A70:V70),IF(SUM(B70:V70)&lt;0,0-SUM(B70:V70),0))</f>
        <v>0</v>
      </c>
      <c r="X70" s="101">
        <f>IF(((SUM(B49:X49)+SUM(B51:X55))+SUM(B72:X72))&lt;0,((SUM(B49:X49)+SUM(B51:X55))+SUM(B72:X72))*0.18-SUM(A70:W70),IF(SUM(B70:W70)&lt;0,0-SUM(B70:W70),0))</f>
        <v>0</v>
      </c>
      <c r="Y70" s="101">
        <f>IF(((SUM(B49:Y49)+SUM(B51:Y55))+SUM(B72:Y72))&lt;0,((SUM(B49:Y49)+SUM(B51:Y55))+SUM(B72:Y72))*0.18-SUM(A70:X70),IF(SUM(B70:X70)&lt;0,0-SUM(B70:X70),0))</f>
        <v>0</v>
      </c>
      <c r="Z70" s="101">
        <f>IF(((SUM(B49:Z49)+SUM(B51:Z55))+SUM(B72:Z72))&lt;0,((SUM(B49:Z49)+SUM(B51:Z55))+SUM(B72:Z72))*0.18-SUM(A70:Y70),IF(SUM(B70:Y70)&lt;0,0-SUM(B70:Y70),0))</f>
        <v>0</v>
      </c>
      <c r="AA70" s="101">
        <f>IF(((SUM(B49:AA49)+SUM(B51:AA55))+SUM(B72:AA72))&lt;0,((SUM(B49:AA49)+SUM(B51:AA55))+SUM(B72:AA72))*0.18-SUM(A70:Z70),IF(SUM(B70:Z70)&lt;0,0-SUM(B70:Z70),0))</f>
        <v>0</v>
      </c>
    </row>
    <row r="71" spans="1:27">
      <c r="A71" s="97" t="s">
        <v>39</v>
      </c>
      <c r="B71" s="96">
        <f>-B49*(B29)</f>
        <v>0</v>
      </c>
      <c r="C71" s="96">
        <f>-(C49-B49)*B29</f>
        <v>-767659.32203389832</v>
      </c>
      <c r="D71" s="96">
        <f>-(D49-C49)*B29</f>
        <v>-33777.010169491543</v>
      </c>
      <c r="E71" s="96">
        <f>-(E49-D49)*B29</f>
        <v>-35263.198616949194</v>
      </c>
      <c r="F71" s="96">
        <f>-(F49-E49)*B29</f>
        <v>-36814.779356095009</v>
      </c>
      <c r="G71" s="96">
        <f>-(G49-F49)*B29</f>
        <v>-38434.629647763075</v>
      </c>
      <c r="H71" s="96">
        <f>-(H49-G49)*B29</f>
        <v>-40125.753352264692</v>
      </c>
      <c r="I71" s="96">
        <f>-(I49-H49)*B29</f>
        <v>-41891.286499764399</v>
      </c>
      <c r="J71" s="96">
        <f>-(J49-I49)*B29</f>
        <v>-43734.503105754033</v>
      </c>
      <c r="K71" s="96">
        <f>-(K49-J49)*B29</f>
        <v>-45658.821242407153</v>
      </c>
      <c r="L71" s="96">
        <f>-(L49-K49)*B29</f>
        <v>-47667.809377073128</v>
      </c>
      <c r="M71" s="96">
        <f>-(M49-L49)*B29</f>
        <v>-49765.192989664341</v>
      </c>
      <c r="N71" s="96">
        <f>-(N49-M49)*B29</f>
        <v>-51954.861481209475</v>
      </c>
      <c r="O71" s="96">
        <f>-(O49-N49)*B29</f>
        <v>-54240.875386382831</v>
      </c>
      <c r="P71" s="96">
        <f>-(P49-O49)*B29</f>
        <v>-56627.473903383689</v>
      </c>
      <c r="Q71" s="96">
        <f>-(Q49-P49)*B29</f>
        <v>-59119.082755132578</v>
      </c>
      <c r="R71" s="96">
        <f>-(R49-Q49)*B29</f>
        <v>-61720.322396358293</v>
      </c>
      <c r="S71" s="96">
        <f>-(S49-R49)*B29</f>
        <v>-64436.016581798161</v>
      </c>
      <c r="T71" s="96">
        <f>-(T49-S49)*B29</f>
        <v>-67271.201311397177</v>
      </c>
      <c r="U71" s="96">
        <f>-(U49-T49)*B29</f>
        <v>-70231.134169098732</v>
      </c>
      <c r="V71" s="96">
        <f>-(V49-U49)*B29</f>
        <v>-73321.304072539133</v>
      </c>
      <c r="W71" s="96">
        <f>-(W49-V49)*B29</f>
        <v>-76547.441451730585</v>
      </c>
      <c r="X71" s="96">
        <f>-(X49-W49)*B29</f>
        <v>-79915.528875606891</v>
      </c>
      <c r="Y71" s="96">
        <f>-(Y49-X49)*B29</f>
        <v>-83431.812146133569</v>
      </c>
      <c r="Z71" s="96">
        <f>-(Z49-Y49)*B29</f>
        <v>-87102.811880563575</v>
      </c>
      <c r="AA71" s="96">
        <f>-(AA49-Z49)*B29</f>
        <v>-90935.335603308311</v>
      </c>
    </row>
    <row r="72" spans="1:27">
      <c r="A72" s="97" t="s">
        <v>40</v>
      </c>
      <c r="B72" s="96">
        <f>-(B15+B16)*B18</f>
        <v>-59508474.576271191</v>
      </c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</row>
    <row r="73" spans="1:27">
      <c r="A73" s="97" t="s">
        <v>41</v>
      </c>
      <c r="B73" s="96">
        <f t="shared" ref="B73:AA73" si="17">B44-B45</f>
        <v>0</v>
      </c>
      <c r="C73" s="96">
        <f t="shared" si="17"/>
        <v>22983050.847457629</v>
      </c>
      <c r="D73" s="96">
        <f t="shared" si="17"/>
        <v>21059322.033898309</v>
      </c>
      <c r="E73" s="96">
        <f t="shared" si="17"/>
        <v>9559322.0338983051</v>
      </c>
      <c r="F73" s="96">
        <f t="shared" si="17"/>
        <v>0</v>
      </c>
      <c r="G73" s="96">
        <f t="shared" si="17"/>
        <v>-7657384.987893464</v>
      </c>
      <c r="H73" s="96">
        <f t="shared" si="17"/>
        <v>-7657384.987893464</v>
      </c>
      <c r="I73" s="96">
        <f t="shared" si="17"/>
        <v>-7657384.987893464</v>
      </c>
      <c r="J73" s="96">
        <f t="shared" si="17"/>
        <v>-7657384.987893464</v>
      </c>
      <c r="K73" s="96">
        <f t="shared" si="17"/>
        <v>-7657384.987893464</v>
      </c>
      <c r="L73" s="96">
        <f t="shared" si="17"/>
        <v>-7657384.987893464</v>
      </c>
      <c r="M73" s="96">
        <f t="shared" si="17"/>
        <v>-7657384.987893464</v>
      </c>
      <c r="N73" s="96">
        <f t="shared" si="17"/>
        <v>0</v>
      </c>
      <c r="O73" s="96">
        <f t="shared" si="17"/>
        <v>0</v>
      </c>
      <c r="P73" s="96">
        <f t="shared" si="17"/>
        <v>0</v>
      </c>
      <c r="Q73" s="96">
        <f t="shared" si="17"/>
        <v>0</v>
      </c>
      <c r="R73" s="96">
        <f t="shared" si="17"/>
        <v>0</v>
      </c>
      <c r="S73" s="96">
        <f t="shared" si="17"/>
        <v>0</v>
      </c>
      <c r="T73" s="96">
        <f t="shared" si="17"/>
        <v>0</v>
      </c>
      <c r="U73" s="96">
        <f t="shared" si="17"/>
        <v>0</v>
      </c>
      <c r="V73" s="96">
        <f t="shared" si="17"/>
        <v>0</v>
      </c>
      <c r="W73" s="96">
        <f t="shared" si="17"/>
        <v>0</v>
      </c>
      <c r="X73" s="96">
        <f t="shared" si="17"/>
        <v>0</v>
      </c>
      <c r="Y73" s="96">
        <f t="shared" si="17"/>
        <v>0</v>
      </c>
      <c r="Z73" s="96">
        <f t="shared" si="17"/>
        <v>0</v>
      </c>
      <c r="AA73" s="96">
        <f t="shared" si="17"/>
        <v>0</v>
      </c>
    </row>
    <row r="74" spans="1:27">
      <c r="A74" s="102" t="s">
        <v>42</v>
      </c>
      <c r="B74" s="95">
        <f t="shared" ref="B74:AA74" si="18">SUM(B66:B73)</f>
        <v>-70220000</v>
      </c>
      <c r="C74" s="95">
        <f t="shared" si="18"/>
        <v>26231134.181272652</v>
      </c>
      <c r="D74" s="95">
        <f t="shared" si="18"/>
        <v>21532524.485132668</v>
      </c>
      <c r="E74" s="95">
        <f t="shared" si="18"/>
        <v>8517110.1512920596</v>
      </c>
      <c r="F74" s="95">
        <f t="shared" si="18"/>
        <v>-396174.61843526736</v>
      </c>
      <c r="G74" s="95">
        <f t="shared" si="18"/>
        <v>-6925659.9344147816</v>
      </c>
      <c r="H74" s="95">
        <f t="shared" si="18"/>
        <v>-5128875.1796404123</v>
      </c>
      <c r="I74" s="95">
        <f t="shared" si="18"/>
        <v>-3312131.567245963</v>
      </c>
      <c r="J74" s="95">
        <f t="shared" si="18"/>
        <v>-3182072.8448044891</v>
      </c>
      <c r="K74" s="95">
        <f t="shared" si="18"/>
        <v>-1490378.9170970758</v>
      </c>
      <c r="L74" s="95">
        <f t="shared" si="18"/>
        <v>309159.51607930381</v>
      </c>
      <c r="M74" s="95">
        <f t="shared" si="18"/>
        <v>2128777.9687254578</v>
      </c>
      <c r="N74" s="95">
        <f t="shared" si="18"/>
        <v>10976977.546443809</v>
      </c>
      <c r="O74" s="95">
        <f t="shared" si="18"/>
        <v>11089845.108418036</v>
      </c>
      <c r="P74" s="95">
        <f t="shared" si="18"/>
        <v>10482675.000334162</v>
      </c>
      <c r="Q74" s="95">
        <f t="shared" si="18"/>
        <v>10969885.726337567</v>
      </c>
      <c r="R74" s="95">
        <f t="shared" si="18"/>
        <v>11476997.612194724</v>
      </c>
      <c r="S74" s="95">
        <f t="shared" si="18"/>
        <v>11176528.342837511</v>
      </c>
      <c r="T74" s="95">
        <f t="shared" si="18"/>
        <v>11691196.391730271</v>
      </c>
      <c r="U74" s="95">
        <f t="shared" si="18"/>
        <v>12228509.834774313</v>
      </c>
      <c r="V74" s="95">
        <f t="shared" si="18"/>
        <v>12789465.069312295</v>
      </c>
      <c r="W74" s="95">
        <f t="shared" si="18"/>
        <v>13375102.334169945</v>
      </c>
      <c r="X74" s="95">
        <f t="shared" si="18"/>
        <v>13986507.638681332</v>
      </c>
      <c r="Y74" s="95">
        <f t="shared" si="18"/>
        <v>14624814.776591221</v>
      </c>
      <c r="Z74" s="95">
        <f t="shared" si="18"/>
        <v>15291207.428569144</v>
      </c>
      <c r="AA74" s="95">
        <f t="shared" si="18"/>
        <v>15986921.357234094</v>
      </c>
    </row>
    <row r="75" spans="1:27">
      <c r="A75" s="102" t="s">
        <v>43</v>
      </c>
      <c r="B75" s="95">
        <f>SUM(B74:B74)</f>
        <v>-70220000</v>
      </c>
      <c r="C75" s="95">
        <f>SUM(B74:C74)</f>
        <v>-43988865.818727344</v>
      </c>
      <c r="D75" s="95">
        <f>SUM(B74:D74)</f>
        <v>-22456341.333594676</v>
      </c>
      <c r="E75" s="95">
        <f>SUM(B74:E74)</f>
        <v>-13939231.182302617</v>
      </c>
      <c r="F75" s="95">
        <f>SUM(B74:F74)</f>
        <v>-14335405.800737884</v>
      </c>
      <c r="G75" s="95">
        <f>SUM(B74:G74)</f>
        <v>-21261065.735152666</v>
      </c>
      <c r="H75" s="95">
        <f>SUM(B74:H74)</f>
        <v>-26389940.914793078</v>
      </c>
      <c r="I75" s="95">
        <f>SUM(B74:I74)</f>
        <v>-29702072.482039042</v>
      </c>
      <c r="J75" s="95">
        <f>SUM(B74:J74)</f>
        <v>-32884145.32684353</v>
      </c>
      <c r="K75" s="95">
        <f>SUM(B74:K74)</f>
        <v>-34374524.243940607</v>
      </c>
      <c r="L75" s="95">
        <f>SUM(B74:L74)</f>
        <v>-34065364.7278613</v>
      </c>
      <c r="M75" s="95">
        <f>SUM(B74:M74)</f>
        <v>-31936586.759135842</v>
      </c>
      <c r="N75" s="95">
        <f>SUM(B74:N74)</f>
        <v>-20959609.212692033</v>
      </c>
      <c r="O75" s="95">
        <f>SUM(B74:O74)</f>
        <v>-9869764.1042739972</v>
      </c>
      <c r="P75" s="95">
        <f>SUM(B74:P74)</f>
        <v>612910.89606016502</v>
      </c>
      <c r="Q75" s="95">
        <f>SUM(B74:Q74)</f>
        <v>11582796.622397732</v>
      </c>
      <c r="R75" s="95">
        <f>SUM(B74:R74)</f>
        <v>23059794.234592456</v>
      </c>
      <c r="S75" s="95">
        <f>SUM(B74:S74)</f>
        <v>34236322.577429965</v>
      </c>
      <c r="T75" s="95">
        <f>SUM(B74:T74)</f>
        <v>45927518.969160236</v>
      </c>
      <c r="U75" s="95">
        <f>SUM(B74:U74)</f>
        <v>58156028.803934552</v>
      </c>
      <c r="V75" s="95">
        <f>SUM(B74:V74)</f>
        <v>70945493.873246849</v>
      </c>
      <c r="W75" s="95">
        <f>SUM(B74:W74)</f>
        <v>84320596.207416788</v>
      </c>
      <c r="X75" s="95">
        <f>SUM(B74:X74)</f>
        <v>98307103.846098125</v>
      </c>
      <c r="Y75" s="95">
        <f>SUM(B74:Y74)</f>
        <v>112931918.62268935</v>
      </c>
      <c r="Z75" s="95">
        <f>SUM(B74:Z74)</f>
        <v>128223126.05125849</v>
      </c>
      <c r="AA75" s="95">
        <f>SUM(B74:AA74)</f>
        <v>144210047.40849259</v>
      </c>
    </row>
    <row r="76" spans="1:27">
      <c r="A76" s="103" t="s">
        <v>44</v>
      </c>
      <c r="B76" s="104">
        <f>1/POWER((1+B34),B64)</f>
        <v>1</v>
      </c>
      <c r="C76" s="104">
        <f>1/POWER((1+B34),C64)</f>
        <v>0.92250922509225086</v>
      </c>
      <c r="D76" s="104">
        <f>1/POWER((1+B34),D64)</f>
        <v>0.85102327038030523</v>
      </c>
      <c r="E76" s="104">
        <f>1/POWER((1+B34),E64)</f>
        <v>0.78507681769400839</v>
      </c>
      <c r="F76" s="104">
        <f>1/POWER((1+B34),F64)</f>
        <v>0.72424060672879009</v>
      </c>
      <c r="G76" s="104">
        <f>1/POWER((1+B34),G64)</f>
        <v>0.66811864089371786</v>
      </c>
      <c r="H76" s="104">
        <f>1/POWER((1+B34),H64)</f>
        <v>0.61634560968055141</v>
      </c>
      <c r="I76" s="104">
        <f>1/POWER((1+B34),I64)</f>
        <v>0.56858451077541639</v>
      </c>
      <c r="J76" s="104">
        <f>1/POWER((1+B34),J64)</f>
        <v>0.5245244564348861</v>
      </c>
      <c r="K76" s="104">
        <f>1/POWER((1+B34),K64)</f>
        <v>0.48387864984768086</v>
      </c>
      <c r="L76" s="104">
        <f>1/POWER((1+B34),L64)</f>
        <v>0.44638251830966863</v>
      </c>
      <c r="M76" s="104">
        <f>1/POWER((1+B34),M64)</f>
        <v>0.41179199106057984</v>
      </c>
      <c r="N76" s="104">
        <f>1/POWER((1+B34),N64)</f>
        <v>0.37988191057249071</v>
      </c>
      <c r="O76" s="104">
        <f>1/POWER((1+B34),O64)</f>
        <v>0.35044456694879217</v>
      </c>
      <c r="P76" s="104">
        <f>1/POWER((1+B34),P64)</f>
        <v>0.32328834589371969</v>
      </c>
      <c r="Q76" s="104">
        <f>1/POWER((1+B34),Q64)</f>
        <v>0.2982364814517709</v>
      </c>
      <c r="R76" s="104">
        <f>1/POWER((1+B34),R64)</f>
        <v>0.27512590539831266</v>
      </c>
      <c r="S76" s="104">
        <f>1/POWER((1+B34),S64)</f>
        <v>0.25380618579180131</v>
      </c>
      <c r="T76" s="104">
        <f>1/POWER((1+B34),T64)</f>
        <v>0.2341385477784145</v>
      </c>
      <c r="U76" s="104">
        <f>1/POWER((1+B34),U64)</f>
        <v>0.21599497027529013</v>
      </c>
      <c r="V76" s="104">
        <f>1/POWER((1+B34),V64)</f>
        <v>0.19925735265248168</v>
      </c>
      <c r="W76" s="104">
        <f>1/POWER((1+B34),W64)</f>
        <v>0.18381674598937425</v>
      </c>
      <c r="X76" s="104">
        <f>1/POWER((1+B34),X64)</f>
        <v>0.16957264390163673</v>
      </c>
      <c r="Y76" s="104">
        <f>1/POWER((1+B34),Y64)</f>
        <v>0.15643232832254311</v>
      </c>
      <c r="Z76" s="104">
        <f>1/POWER((1+B34),Z64)</f>
        <v>0.14431026598020583</v>
      </c>
      <c r="AA76" s="104">
        <f>1/POWER((1+B34),AA64)</f>
        <v>0.13312755164225631</v>
      </c>
    </row>
    <row r="77" spans="1:27">
      <c r="A77" s="105" t="s">
        <v>45</v>
      </c>
      <c r="B77" s="106">
        <f t="shared" ref="B77:AA77" si="19">B74*B76</f>
        <v>-70220000</v>
      </c>
      <c r="C77" s="106">
        <f t="shared" si="19"/>
        <v>24198463.266856689</v>
      </c>
      <c r="D77" s="106">
        <f t="shared" si="19"/>
        <v>18324679.406881601</v>
      </c>
      <c r="E77" s="106">
        <f t="shared" si="19"/>
        <v>6686585.7335257046</v>
      </c>
      <c r="F77" s="106">
        <f t="shared" si="19"/>
        <v>-286925.74602610496</v>
      </c>
      <c r="G77" s="106">
        <f t="shared" si="19"/>
        <v>-4627162.5026732795</v>
      </c>
      <c r="H77" s="106">
        <f t="shared" si="19"/>
        <v>-3161159.6995709175</v>
      </c>
      <c r="I77" s="106">
        <f t="shared" si="19"/>
        <v>-1883226.706786359</v>
      </c>
      <c r="J77" s="106">
        <f t="shared" si="19"/>
        <v>-1669075.0292572863</v>
      </c>
      <c r="K77" s="106">
        <f t="shared" si="19"/>
        <v>-721162.53816638177</v>
      </c>
      <c r="L77" s="106">
        <f t="shared" si="19"/>
        <v>138003.40334687813</v>
      </c>
      <c r="M77" s="106">
        <f t="shared" si="19"/>
        <v>876613.71826735302</v>
      </c>
      <c r="N77" s="106">
        <f t="shared" si="19"/>
        <v>4169955.2026544055</v>
      </c>
      <c r="O77" s="106">
        <f t="shared" si="19"/>
        <v>3886375.9665487399</v>
      </c>
      <c r="P77" s="106">
        <f t="shared" si="19"/>
        <v>3388926.6613994786</v>
      </c>
      <c r="Q77" s="106">
        <f t="shared" si="19"/>
        <v>3271620.12095092</v>
      </c>
      <c r="R77" s="106">
        <f t="shared" si="19"/>
        <v>3157619.3593093459</v>
      </c>
      <c r="S77" s="106">
        <f t="shared" si="19"/>
        <v>2836672.0290895505</v>
      </c>
      <c r="T77" s="106">
        <f t="shared" si="19"/>
        <v>2737359.7449519653</v>
      </c>
      <c r="U77" s="106">
        <f t="shared" si="19"/>
        <v>2641296.6182731707</v>
      </c>
      <c r="V77" s="106">
        <f t="shared" si="19"/>
        <v>2548394.9515525559</v>
      </c>
      <c r="W77" s="106">
        <f t="shared" si="19"/>
        <v>2458567.7883420032</v>
      </c>
      <c r="X77" s="106">
        <f t="shared" si="19"/>
        <v>2371729.0792416316</v>
      </c>
      <c r="Y77" s="106">
        <f t="shared" si="19"/>
        <v>2287793.8267880981</v>
      </c>
      <c r="Z77" s="106">
        <f t="shared" si="19"/>
        <v>2206678.2111753123</v>
      </c>
      <c r="AA77" s="106">
        <f t="shared" si="19"/>
        <v>2128299.6985858721</v>
      </c>
    </row>
    <row r="78" spans="1:27">
      <c r="A78" s="105" t="s">
        <v>46</v>
      </c>
      <c r="B78" s="106">
        <f>SUM(B77:B77)</f>
        <v>-70220000</v>
      </c>
      <c r="C78" s="106">
        <f>SUM(B77:C77)</f>
        <v>-46021536.733143315</v>
      </c>
      <c r="D78" s="106">
        <f>SUM(B77:D77)</f>
        <v>-27696857.326261714</v>
      </c>
      <c r="E78" s="106">
        <f>SUM(B77:E77)</f>
        <v>-21010271.59273601</v>
      </c>
      <c r="F78" s="106">
        <f>SUM(B77:F77)</f>
        <v>-21297197.338762116</v>
      </c>
      <c r="G78" s="106">
        <f>SUM(B77:G77)</f>
        <v>-25924359.841435395</v>
      </c>
      <c r="H78" s="106">
        <f>SUM(B77:H77)</f>
        <v>-29085519.541006312</v>
      </c>
      <c r="I78" s="106">
        <f>SUM(B77:I77)</f>
        <v>-30968746.247792672</v>
      </c>
      <c r="J78" s="106">
        <f>SUM(B77:J77)</f>
        <v>-32637821.277049959</v>
      </c>
      <c r="K78" s="106">
        <f>SUM(B77:K77)</f>
        <v>-33358983.81521634</v>
      </c>
      <c r="L78" s="106">
        <f>SUM(B77:L77)</f>
        <v>-33220980.411869463</v>
      </c>
      <c r="M78" s="106">
        <f>SUM(B77:M77)</f>
        <v>-32344366.693602111</v>
      </c>
      <c r="N78" s="106">
        <f>SUM(B77:N77)</f>
        <v>-28174411.490947705</v>
      </c>
      <c r="O78" s="106">
        <f>SUM(B77:O77)</f>
        <v>-24288035.524398964</v>
      </c>
      <c r="P78" s="106">
        <f>SUM(B77:P77)</f>
        <v>-20899108.862999484</v>
      </c>
      <c r="Q78" s="106">
        <f>SUM(B77:Q77)</f>
        <v>-17627488.742048565</v>
      </c>
      <c r="R78" s="106">
        <f>SUM(B77:R77)</f>
        <v>-14469869.38273922</v>
      </c>
      <c r="S78" s="106">
        <f>SUM(B77:S77)</f>
        <v>-11633197.353649668</v>
      </c>
      <c r="T78" s="106">
        <f>SUM(B77:T77)</f>
        <v>-8895837.6086977031</v>
      </c>
      <c r="U78" s="106">
        <f>SUM(B77:U77)</f>
        <v>-6254540.9904245324</v>
      </c>
      <c r="V78" s="106">
        <f>SUM(B77:V77)</f>
        <v>-3706146.0388719765</v>
      </c>
      <c r="W78" s="106">
        <f>SUM(B77:W77)</f>
        <v>-1247578.2505299733</v>
      </c>
      <c r="X78" s="106">
        <f>SUM(B77:X77)</f>
        <v>1124150.8287116583</v>
      </c>
      <c r="Y78" s="106">
        <f>SUM(B77:Y77)</f>
        <v>3411944.6554997563</v>
      </c>
      <c r="Z78" s="106">
        <f>SUM(B77:Z77)</f>
        <v>5618622.8666750686</v>
      </c>
      <c r="AA78" s="106">
        <f>SUM(B77:AA77)</f>
        <v>7746922.5652609412</v>
      </c>
    </row>
    <row r="79" spans="1:27">
      <c r="A79" s="105" t="s">
        <v>47</v>
      </c>
      <c r="B79" s="107">
        <f>IF((ISERR(IRR(B74:B74))),0,IF(IRR(B74:B74)&lt;0,0,IRR(B74:B74)))</f>
        <v>0</v>
      </c>
      <c r="C79" s="107">
        <f>IF((ISERR(IRR(B74:C74))),0,IF(IRR(B74:C74)&lt;0,0,IRR(B74:C74)))</f>
        <v>0</v>
      </c>
      <c r="D79" s="107">
        <f>IF((ISERR(IRR(B74:D74))),0,IF(IRR(B74:D74)&lt;0,0,IRR(B74:D74)))</f>
        <v>0</v>
      </c>
      <c r="E79" s="107">
        <f>IF((ISERR(IRR(B74:E74))),0,IF(IRR(B74:E74)&lt;0,0,IRR(B74:E74)))</f>
        <v>0</v>
      </c>
      <c r="F79" s="107">
        <f>IF((ISERR(IRR(B74:F74))),0,IF(IRR(B74:F74)&lt;0,0,IRR(B74:F74)))</f>
        <v>0</v>
      </c>
      <c r="G79" s="107">
        <f>IF((ISERR(IRR(B74:G74))),0,IF(IRR(B74:G74)&lt;0,0,IRR(B74:G74)))</f>
        <v>0</v>
      </c>
      <c r="H79" s="107">
        <f>IF((ISERR(IRR(B74:H74))),0,IF(IRR(B74:H74)&lt;0,0,IRR(B74:H74)))</f>
        <v>0</v>
      </c>
      <c r="I79" s="107">
        <f>IF((ISERR(IRR(B74:I74))),0,IF(IRR(B74:I74)&lt;0,0,IRR(B74:I74)))</f>
        <v>0</v>
      </c>
      <c r="J79" s="107">
        <f>IF((ISERR(IRR(B74:J74))),0,IF(IRR(B74:J74)&lt;0,0,IRR(B74:J74)))</f>
        <v>0</v>
      </c>
      <c r="K79" s="107">
        <f>IF((ISERR(IRR(B74:K74))),0,IF(IRR(B74:K74)&lt;0,0,IRR(B74:K74)))</f>
        <v>0</v>
      </c>
      <c r="L79" s="107">
        <f>IF((ISERR(IRR(B74:L74))),0,IF(IRR(B74:L74)&lt;0,0,IRR(B74:L74)))</f>
        <v>0</v>
      </c>
      <c r="M79" s="107">
        <f>IF((ISERR(IRR(B74:M74))),0,IF(IRR(B74:M74)&lt;0,0,IRR(B74:M74)))</f>
        <v>0</v>
      </c>
      <c r="N79" s="107">
        <f>IF((ISERR(IRR(B74:N74))),0,IF(IRR(B74:N74)&lt;0,0,IRR(B74:N74)))</f>
        <v>0</v>
      </c>
      <c r="O79" s="107">
        <f>IF((ISERR(IRR(B74:O74))),0,IF(IRR(B74:O74)&lt;0,0,IRR(B74:O74)))</f>
        <v>0</v>
      </c>
      <c r="P79" s="107">
        <f>IF((ISERR(IRR(B74:P74))),0,IF(IRR(B74:P74)&lt;0,0,IRR(B74:P74)))</f>
        <v>1.4917944245447234E-3</v>
      </c>
      <c r="Q79" s="107">
        <f>IF((ISERR(IRR(B74:Q74))),0,IF(IRR(B74:Q74)&lt;0,0,IRR(B74:Q74)))</f>
        <v>2.3421632960378913E-2</v>
      </c>
      <c r="R79" s="107">
        <f>IF((ISERR(IRR(B74:R74))),0,IF(IRR(B74:R74)&lt;0,0,IRR(B74:R74)))</f>
        <v>3.9742429965995196E-2</v>
      </c>
      <c r="S79" s="107">
        <f>IF((ISERR(IRR(B74:S74))),0,IF(IRR(B74:S74)&lt;0,0,IRR(B74:S74)))</f>
        <v>5.1633715661964397E-2</v>
      </c>
      <c r="T79" s="107">
        <f>IF((ISERR(IRR(B74:T74))),0,IF(IRR(B74:T74)&lt;0,0,IRR(B74:T74)))</f>
        <v>6.12613402452169E-2</v>
      </c>
      <c r="U79" s="107">
        <f>IF((ISERR(IRR(B74:U74))),0,IF(IRR(B74:U74)&lt;0,0,IRR(B74:U74)))</f>
        <v>6.9193819311835547E-2</v>
      </c>
      <c r="V79" s="107">
        <f>IF((ISERR(IRR(B74:V74))),0,IF(IRR(B74:V74)&lt;0,0,IRR(B74:V74)))</f>
        <v>7.5820396161673909E-2</v>
      </c>
      <c r="W79" s="107">
        <f>IF((ISERR(IRR(B74:W74))),0,IF(IRR(B74:W74)&lt;0,0,IRR(B74:W74)))</f>
        <v>8.1418389019577875E-2</v>
      </c>
      <c r="X79" s="107">
        <f>IF((ISERR(IRR(B74:X74))),0,IF(IRR(B74:X74)&lt;0,0,IRR(B74:X74)))</f>
        <v>8.6191656828728647E-2</v>
      </c>
      <c r="Y79" s="107">
        <f>IF((ISERR(IRR(B74:Y74))),0,IF(IRR(B74:Y74)&lt;0,0,IRR(B74:Y74)))</f>
        <v>9.0293883492452487E-2</v>
      </c>
      <c r="Z79" s="107">
        <f>IF((ISERR(IRR(B74:Z74))),0,IF(IRR(B74:Z74)&lt;0,0,IRR(B74:Z74)))</f>
        <v>9.3843352670580638E-2</v>
      </c>
      <c r="AA79" s="107">
        <f>IF((ISERR(IRR(B74:AA74))),0,IF(IRR(B74:AA74)&lt;0,0,IRR(B74:AA74)))</f>
        <v>9.6932693852676E-2</v>
      </c>
    </row>
    <row r="80" spans="1:27">
      <c r="A80" s="105" t="s">
        <v>48</v>
      </c>
      <c r="B80" s="108"/>
      <c r="C80" s="108">
        <f t="shared" ref="C80:AA80" si="20">IF(AND(C75&gt;0,B75&lt;0),(C64-(C75/(C75-B75))),0)</f>
        <v>0</v>
      </c>
      <c r="D80" s="108">
        <f t="shared" si="20"/>
        <v>0</v>
      </c>
      <c r="E80" s="108">
        <f t="shared" si="20"/>
        <v>0</v>
      </c>
      <c r="F80" s="108">
        <f t="shared" si="20"/>
        <v>0</v>
      </c>
      <c r="G80" s="108">
        <f t="shared" si="20"/>
        <v>0</v>
      </c>
      <c r="H80" s="108">
        <f t="shared" si="20"/>
        <v>0</v>
      </c>
      <c r="I80" s="108">
        <f t="shared" si="20"/>
        <v>0</v>
      </c>
      <c r="J80" s="108">
        <f t="shared" si="20"/>
        <v>0</v>
      </c>
      <c r="K80" s="108">
        <f t="shared" si="20"/>
        <v>0</v>
      </c>
      <c r="L80" s="108">
        <f t="shared" si="20"/>
        <v>0</v>
      </c>
      <c r="M80" s="108">
        <f t="shared" si="20"/>
        <v>0</v>
      </c>
      <c r="N80" s="108">
        <f t="shared" si="20"/>
        <v>0</v>
      </c>
      <c r="O80" s="108">
        <f t="shared" si="20"/>
        <v>0</v>
      </c>
      <c r="P80" s="108">
        <f>IF(AND(P75&gt;0,O75&lt;0),(P64-(P75/(P75-O75))),0)</f>
        <v>13.941531059959349</v>
      </c>
      <c r="Q80" s="108">
        <f>IF(AND(Q75&gt;0,P75&lt;0),(Q64-(Q75/(Q75-P75))),0)</f>
        <v>0</v>
      </c>
      <c r="R80" s="108">
        <f t="shared" si="20"/>
        <v>0</v>
      </c>
      <c r="S80" s="108">
        <f t="shared" si="20"/>
        <v>0</v>
      </c>
      <c r="T80" s="108">
        <f t="shared" si="20"/>
        <v>0</v>
      </c>
      <c r="U80" s="108">
        <f t="shared" si="20"/>
        <v>0</v>
      </c>
      <c r="V80" s="108">
        <f t="shared" si="20"/>
        <v>0</v>
      </c>
      <c r="W80" s="108">
        <f t="shared" si="20"/>
        <v>0</v>
      </c>
      <c r="X80" s="108">
        <f t="shared" si="20"/>
        <v>0</v>
      </c>
      <c r="Y80" s="108">
        <f t="shared" si="20"/>
        <v>0</v>
      </c>
      <c r="Z80" s="108">
        <f t="shared" si="20"/>
        <v>0</v>
      </c>
      <c r="AA80" s="108">
        <f t="shared" si="20"/>
        <v>0</v>
      </c>
    </row>
    <row r="81" spans="1:27" ht="16.5" thickBot="1">
      <c r="A81" s="109" t="s">
        <v>49</v>
      </c>
      <c r="B81" s="110"/>
      <c r="C81" s="110">
        <f t="shared" ref="C81:Z81" si="21">IF(AND(C78&gt;0,B78&lt;0),(C64-(C78/(C78-B78))),0)</f>
        <v>0</v>
      </c>
      <c r="D81" s="110">
        <f t="shared" si="21"/>
        <v>0</v>
      </c>
      <c r="E81" s="110">
        <f t="shared" si="21"/>
        <v>0</v>
      </c>
      <c r="F81" s="110">
        <f t="shared" si="21"/>
        <v>0</v>
      </c>
      <c r="G81" s="110">
        <f t="shared" si="21"/>
        <v>0</v>
      </c>
      <c r="H81" s="110">
        <f t="shared" si="21"/>
        <v>0</v>
      </c>
      <c r="I81" s="110">
        <f t="shared" si="21"/>
        <v>0</v>
      </c>
      <c r="J81" s="110">
        <f t="shared" si="21"/>
        <v>0</v>
      </c>
      <c r="K81" s="110">
        <f t="shared" si="21"/>
        <v>0</v>
      </c>
      <c r="L81" s="110">
        <f t="shared" si="21"/>
        <v>0</v>
      </c>
      <c r="M81" s="110">
        <f t="shared" si="21"/>
        <v>0</v>
      </c>
      <c r="N81" s="110">
        <f t="shared" si="21"/>
        <v>0</v>
      </c>
      <c r="O81" s="110">
        <f t="shared" si="21"/>
        <v>0</v>
      </c>
      <c r="P81" s="110">
        <f t="shared" si="21"/>
        <v>0</v>
      </c>
      <c r="Q81" s="110">
        <f t="shared" si="21"/>
        <v>0</v>
      </c>
      <c r="R81" s="110">
        <f t="shared" si="21"/>
        <v>0</v>
      </c>
      <c r="S81" s="110">
        <f t="shared" si="21"/>
        <v>0</v>
      </c>
      <c r="T81" s="110">
        <f t="shared" si="21"/>
        <v>0</v>
      </c>
      <c r="U81" s="110">
        <f t="shared" si="21"/>
        <v>0</v>
      </c>
      <c r="V81" s="110">
        <f t="shared" si="21"/>
        <v>0</v>
      </c>
      <c r="W81" s="110">
        <f t="shared" si="21"/>
        <v>0</v>
      </c>
      <c r="X81" s="110">
        <f t="shared" si="21"/>
        <v>21.526020556668676</v>
      </c>
      <c r="Y81" s="110">
        <f t="shared" si="21"/>
        <v>0</v>
      </c>
      <c r="Z81" s="110">
        <f t="shared" si="21"/>
        <v>0</v>
      </c>
      <c r="AA81" s="110">
        <f>IF(AND(AA78&gt;0,Z78&lt;0),(AA64-(AA78/(AA78-Z78))),0)</f>
        <v>0</v>
      </c>
    </row>
    <row r="83" spans="1:27" ht="16.5" thickBot="1">
      <c r="A83" s="58" t="s">
        <v>299</v>
      </c>
      <c r="B83" s="58" t="s">
        <v>300</v>
      </c>
      <c r="D83" s="59"/>
      <c r="E83" s="60"/>
      <c r="F83" s="60"/>
      <c r="G83" s="60"/>
      <c r="H83" s="60"/>
    </row>
    <row r="84" spans="1:27" ht="25.5">
      <c r="A84" s="61" t="s">
        <v>301</v>
      </c>
      <c r="B84" s="706">
        <f>89.36*1000000/1.18</f>
        <v>75728813.559322044</v>
      </c>
      <c r="C84" s="680">
        <v>2</v>
      </c>
      <c r="D84" s="704" t="str">
        <f>'приложение 1.1 '!B24</f>
        <v>Реконструкция ПС №121 -35/6кВ (Замена тр-ров 2TONb 4000/35/6кВА на 2ТД 10000/35/6кВА; 2ЗРУ-6кВ на 2КРУ-6кВ)</v>
      </c>
      <c r="E84" s="62"/>
      <c r="F84" s="62"/>
      <c r="G84" s="62"/>
      <c r="H84" s="62"/>
      <c r="I84" s="62"/>
      <c r="J84" s="62"/>
      <c r="K84" s="62"/>
    </row>
    <row r="85" spans="1:27">
      <c r="A85" s="63" t="s">
        <v>302</v>
      </c>
      <c r="B85" s="64">
        <v>0</v>
      </c>
      <c r="C85" s="62"/>
      <c r="D85" s="62"/>
      <c r="E85" s="62"/>
      <c r="F85" s="62"/>
      <c r="G85" s="62"/>
      <c r="H85" s="62"/>
      <c r="I85" s="62"/>
      <c r="J85" s="62"/>
      <c r="K85" s="62"/>
    </row>
    <row r="86" spans="1:27">
      <c r="A86" s="63" t="s">
        <v>303</v>
      </c>
      <c r="B86" s="64">
        <v>15</v>
      </c>
      <c r="C86" s="62"/>
      <c r="D86" s="57" t="s">
        <v>304</v>
      </c>
      <c r="E86" s="62"/>
      <c r="F86" s="62"/>
      <c r="G86" s="62"/>
      <c r="H86" s="62"/>
      <c r="I86" s="62"/>
      <c r="J86" s="62"/>
      <c r="K86" s="62"/>
    </row>
    <row r="87" spans="1:27" ht="16.5" thickBot="1">
      <c r="A87" s="65" t="s">
        <v>305</v>
      </c>
      <c r="B87" s="68">
        <v>1</v>
      </c>
      <c r="C87" s="62"/>
      <c r="D87" s="929" t="s">
        <v>306</v>
      </c>
      <c r="E87" s="929"/>
      <c r="F87" s="934">
        <f>SUM(B149:X149)</f>
        <v>10.027335953749795</v>
      </c>
      <c r="G87" s="935">
        <f>SUM(C149:Y149)</f>
        <v>10.027335953749795</v>
      </c>
      <c r="K87" s="66"/>
    </row>
    <row r="88" spans="1:27">
      <c r="A88" s="70" t="s">
        <v>469</v>
      </c>
      <c r="B88" s="473">
        <f>B84*0.417/100</f>
        <v>315789.15254237293</v>
      </c>
      <c r="C88" s="62"/>
      <c r="D88" s="929" t="s">
        <v>470</v>
      </c>
      <c r="E88" s="929"/>
      <c r="F88" s="934">
        <f>IF(SUM(B150:AA150)=0,"не окупается",SUM(B150:AA150))</f>
        <v>16.418204553653862</v>
      </c>
      <c r="G88" s="935"/>
      <c r="K88" s="66"/>
    </row>
    <row r="89" spans="1:27">
      <c r="A89" s="72" t="s">
        <v>471</v>
      </c>
      <c r="B89" s="474">
        <v>5</v>
      </c>
      <c r="C89" s="62"/>
      <c r="D89" s="929" t="s">
        <v>50</v>
      </c>
      <c r="E89" s="929"/>
      <c r="F89" s="932">
        <f>AA147</f>
        <v>26932540.901487518</v>
      </c>
      <c r="G89" s="933"/>
      <c r="K89" s="66"/>
    </row>
    <row r="90" spans="1:27">
      <c r="A90" s="72" t="s">
        <v>6</v>
      </c>
      <c r="B90" s="474">
        <v>1</v>
      </c>
      <c r="C90" s="62"/>
      <c r="D90" s="929" t="s">
        <v>7</v>
      </c>
      <c r="E90" s="929"/>
      <c r="F90" s="930" t="str">
        <f>IF(F89&gt;0,"да","нет")</f>
        <v>да</v>
      </c>
      <c r="G90" s="931"/>
      <c r="K90" s="66"/>
    </row>
    <row r="91" spans="1:27">
      <c r="A91" s="72" t="s">
        <v>8</v>
      </c>
      <c r="B91" s="474">
        <f>B84*0.0375/100</f>
        <v>28398.305084745767</v>
      </c>
      <c r="C91" s="62"/>
      <c r="D91" s="62"/>
      <c r="E91" s="62"/>
      <c r="F91" s="62"/>
      <c r="G91" s="62"/>
      <c r="H91" s="62"/>
      <c r="I91" s="62"/>
      <c r="J91" s="62"/>
      <c r="K91" s="62"/>
    </row>
    <row r="92" spans="1:27">
      <c r="A92" s="72" t="s">
        <v>9</v>
      </c>
      <c r="B92" s="475">
        <v>5</v>
      </c>
      <c r="C92" s="62"/>
      <c r="D92" s="62"/>
      <c r="E92" s="62"/>
      <c r="F92" s="62"/>
      <c r="G92" s="62"/>
      <c r="H92" s="62"/>
      <c r="I92" s="62"/>
      <c r="J92" s="62"/>
      <c r="K92" s="62"/>
    </row>
    <row r="93" spans="1:27">
      <c r="A93" s="72" t="s">
        <v>10</v>
      </c>
      <c r="B93" s="475">
        <v>1</v>
      </c>
      <c r="C93" s="62"/>
      <c r="D93" s="62"/>
      <c r="E93" s="62"/>
      <c r="F93" s="62"/>
      <c r="G93" s="62"/>
      <c r="H93" s="62"/>
      <c r="I93" s="62"/>
      <c r="J93" s="62"/>
      <c r="K93" s="62"/>
    </row>
    <row r="94" spans="1:27">
      <c r="A94" s="75" t="s">
        <v>290</v>
      </c>
      <c r="B94" s="475">
        <v>0</v>
      </c>
      <c r="C94" s="62"/>
      <c r="D94" s="62"/>
      <c r="E94" s="62"/>
      <c r="F94" s="62"/>
      <c r="G94" s="62"/>
      <c r="H94" s="62"/>
      <c r="I94" s="62"/>
      <c r="J94" s="62"/>
      <c r="K94" s="62"/>
    </row>
    <row r="95" spans="1:27" ht="16.5" thickBot="1">
      <c r="A95" s="471" t="s">
        <v>100</v>
      </c>
      <c r="B95" s="476">
        <v>0.2</v>
      </c>
      <c r="C95" s="62"/>
      <c r="D95" s="62"/>
      <c r="E95" s="62"/>
      <c r="F95" s="62"/>
      <c r="G95" s="62"/>
      <c r="H95" s="62"/>
      <c r="I95" s="62"/>
      <c r="J95" s="62"/>
      <c r="K95" s="62"/>
    </row>
    <row r="96" spans="1:27">
      <c r="A96" s="61" t="s">
        <v>290</v>
      </c>
      <c r="B96" s="472">
        <v>0</v>
      </c>
      <c r="C96" s="62"/>
      <c r="D96" s="62"/>
      <c r="E96" s="62"/>
      <c r="F96" s="62"/>
      <c r="G96" s="62"/>
      <c r="H96" s="62"/>
      <c r="I96" s="62"/>
      <c r="J96" s="62"/>
      <c r="K96" s="62"/>
    </row>
    <row r="97" spans="1:27">
      <c r="A97" s="63" t="s">
        <v>11</v>
      </c>
      <c r="B97" s="64">
        <v>0</v>
      </c>
      <c r="C97" s="62"/>
      <c r="D97" s="62"/>
      <c r="E97" s="62"/>
      <c r="F97" s="62"/>
      <c r="G97" s="62"/>
      <c r="H97" s="62"/>
      <c r="I97" s="62"/>
      <c r="J97" s="62"/>
      <c r="K97" s="62"/>
    </row>
    <row r="98" spans="1:27" ht="16.5" thickBot="1">
      <c r="A98" s="67" t="s">
        <v>12</v>
      </c>
      <c r="B98" s="69">
        <v>0.1</v>
      </c>
      <c r="C98" s="62"/>
      <c r="D98" s="62"/>
      <c r="E98" s="62"/>
      <c r="F98" s="62"/>
      <c r="G98" s="62"/>
      <c r="H98" s="62"/>
      <c r="I98" s="62"/>
      <c r="J98" s="62"/>
      <c r="K98" s="62"/>
    </row>
    <row r="99" spans="1:27">
      <c r="A99" s="70" t="s">
        <v>13</v>
      </c>
      <c r="B99" s="71">
        <v>7</v>
      </c>
    </row>
    <row r="100" spans="1:27">
      <c r="A100" s="72" t="s">
        <v>14</v>
      </c>
      <c r="B100" s="73">
        <v>0.16971</v>
      </c>
    </row>
    <row r="101" spans="1:27">
      <c r="A101" s="72" t="s">
        <v>15</v>
      </c>
      <c r="B101" s="74">
        <f>B100</f>
        <v>0.16971</v>
      </c>
    </row>
    <row r="102" spans="1:27">
      <c r="A102" s="72" t="s">
        <v>16</v>
      </c>
      <c r="B102" s="74">
        <f>+(B112+B113)/B84</f>
        <v>0</v>
      </c>
    </row>
    <row r="103" spans="1:27">
      <c r="A103" s="72" t="s">
        <v>17</v>
      </c>
      <c r="B103" s="74">
        <v>8.4000000000000005E-2</v>
      </c>
    </row>
    <row r="104" spans="1:27">
      <c r="A104" s="72" t="s">
        <v>18</v>
      </c>
      <c r="B104" s="74">
        <f>1-B102</f>
        <v>1</v>
      </c>
    </row>
    <row r="105" spans="1:27" ht="16.5" thickBot="1">
      <c r="A105" s="75" t="s">
        <v>19</v>
      </c>
      <c r="B105" s="76">
        <f>B104*B103+B102*B101*(1-B95)</f>
        <v>8.4000000000000005E-2</v>
      </c>
    </row>
    <row r="106" spans="1:27" ht="47.25">
      <c r="A106" s="77" t="s">
        <v>20</v>
      </c>
      <c r="B106" s="78" t="s">
        <v>553</v>
      </c>
      <c r="C106" s="79">
        <v>2017</v>
      </c>
      <c r="D106" s="80">
        <f t="shared" ref="D106" si="22">C106+1</f>
        <v>2018</v>
      </c>
      <c r="E106" s="80">
        <f t="shared" ref="E106" si="23">D106+1</f>
        <v>2019</v>
      </c>
      <c r="F106" s="80">
        <f t="shared" ref="F106" si="24">E106+1</f>
        <v>2020</v>
      </c>
      <c r="G106" s="80">
        <f t="shared" ref="G106" si="25">F106+1</f>
        <v>2021</v>
      </c>
      <c r="H106" s="80">
        <f t="shared" ref="H106" si="26">G106+1</f>
        <v>2022</v>
      </c>
      <c r="I106" s="80">
        <f t="shared" ref="I106" si="27">H106+1</f>
        <v>2023</v>
      </c>
      <c r="J106" s="80">
        <f t="shared" ref="J106" si="28">I106+1</f>
        <v>2024</v>
      </c>
      <c r="K106" s="80">
        <f t="shared" ref="K106" si="29">J106+1</f>
        <v>2025</v>
      </c>
      <c r="L106" s="81">
        <f t="shared" ref="L106" si="30">K106+1</f>
        <v>2026</v>
      </c>
      <c r="M106" s="81">
        <f t="shared" ref="M106" si="31">L106+1</f>
        <v>2027</v>
      </c>
      <c r="N106" s="81">
        <f t="shared" ref="N106" si="32">M106+1</f>
        <v>2028</v>
      </c>
      <c r="O106" s="81">
        <f t="shared" ref="O106" si="33">N106+1</f>
        <v>2029</v>
      </c>
      <c r="P106" s="81">
        <f t="shared" ref="P106" si="34">O106+1</f>
        <v>2030</v>
      </c>
      <c r="Q106" s="81">
        <f t="shared" ref="Q106" si="35">P106+1</f>
        <v>2031</v>
      </c>
      <c r="R106" s="81">
        <f t="shared" ref="R106" si="36">Q106+1</f>
        <v>2032</v>
      </c>
      <c r="S106" s="81">
        <f t="shared" ref="S106" si="37">R106+1</f>
        <v>2033</v>
      </c>
      <c r="T106" s="81">
        <f t="shared" ref="T106" si="38">S106+1</f>
        <v>2034</v>
      </c>
      <c r="U106" s="81">
        <f t="shared" ref="U106" si="39">T106+1</f>
        <v>2035</v>
      </c>
      <c r="V106" s="81">
        <f t="shared" ref="V106" si="40">U106+1</f>
        <v>2036</v>
      </c>
      <c r="W106" s="81">
        <f t="shared" ref="W106" si="41">V106+1</f>
        <v>2037</v>
      </c>
      <c r="X106" s="81">
        <f t="shared" ref="X106" si="42">W106+1</f>
        <v>2038</v>
      </c>
      <c r="Y106" s="81">
        <f t="shared" ref="Y106" si="43">X106+1</f>
        <v>2039</v>
      </c>
      <c r="Z106" s="81">
        <f t="shared" ref="Z106" si="44">Y106+1</f>
        <v>2040</v>
      </c>
      <c r="AA106" s="82">
        <f t="shared" ref="AA106" si="45">Z106+1</f>
        <v>2041</v>
      </c>
    </row>
    <row r="107" spans="1:27">
      <c r="A107" s="83" t="s">
        <v>21</v>
      </c>
      <c r="B107" s="84">
        <v>4.3999999999999997E-2</v>
      </c>
      <c r="C107" s="84">
        <v>4.3999999999999997E-2</v>
      </c>
      <c r="D107" s="84">
        <v>4.3999999999999997E-2</v>
      </c>
      <c r="E107" s="84">
        <v>4.3999999999999997E-2</v>
      </c>
      <c r="F107" s="84">
        <v>4.3999999999999997E-2</v>
      </c>
      <c r="G107" s="84">
        <v>4.3999999999999997E-2</v>
      </c>
      <c r="H107" s="84">
        <v>4.3999999999999997E-2</v>
      </c>
      <c r="I107" s="84">
        <v>4.3999999999999997E-2</v>
      </c>
      <c r="J107" s="84">
        <v>4.3999999999999997E-2</v>
      </c>
      <c r="K107" s="84">
        <v>4.3999999999999997E-2</v>
      </c>
      <c r="L107" s="84">
        <v>4.3999999999999997E-2</v>
      </c>
      <c r="M107" s="84">
        <v>4.3999999999999997E-2</v>
      </c>
      <c r="N107" s="84">
        <v>4.3999999999999997E-2</v>
      </c>
      <c r="O107" s="84">
        <v>4.3999999999999997E-2</v>
      </c>
      <c r="P107" s="84">
        <v>4.3999999999999997E-2</v>
      </c>
      <c r="Q107" s="84">
        <v>4.3999999999999997E-2</v>
      </c>
      <c r="R107" s="84">
        <v>4.3999999999999997E-2</v>
      </c>
      <c r="S107" s="84">
        <v>4.3999999999999997E-2</v>
      </c>
      <c r="T107" s="84">
        <v>4.3999999999999997E-2</v>
      </c>
      <c r="U107" s="84">
        <v>4.3999999999999997E-2</v>
      </c>
      <c r="V107" s="84">
        <v>4.3999999999999997E-2</v>
      </c>
      <c r="W107" s="84">
        <v>4.3999999999999997E-2</v>
      </c>
      <c r="X107" s="84">
        <v>4.3999999999999997E-2</v>
      </c>
      <c r="Y107" s="84">
        <v>4.3999999999999997E-2</v>
      </c>
      <c r="Z107" s="84">
        <v>4.3999999999999997E-2</v>
      </c>
      <c r="AA107" s="84">
        <v>4.3999999999999997E-2</v>
      </c>
    </row>
    <row r="108" spans="1:27">
      <c r="A108" s="83" t="s">
        <v>22</v>
      </c>
      <c r="B108" s="84">
        <f>B107</f>
        <v>4.3999999999999997E-2</v>
      </c>
      <c r="C108" s="84">
        <f>(1+B108)*(1+C107)-1</f>
        <v>8.9936000000000016E-2</v>
      </c>
      <c r="D108" s="84">
        <f>(1+C108)*(1+D107)-1</f>
        <v>0.13789318400000017</v>
      </c>
      <c r="E108" s="84">
        <f t="shared" ref="E108" si="46">(1+D108)*(1+E107)-1</f>
        <v>0.1879604840960003</v>
      </c>
      <c r="F108" s="84">
        <f t="shared" ref="F108" si="47">(1+E108)*(1+F107)-1</f>
        <v>0.24023074539622447</v>
      </c>
      <c r="G108" s="84">
        <f t="shared" ref="G108" si="48">(1+F108)*(1+G107)-1</f>
        <v>0.29480089819365829</v>
      </c>
      <c r="H108" s="84">
        <f t="shared" ref="H108" si="49">(1+G108)*(1+H107)-1</f>
        <v>0.35177213771417937</v>
      </c>
      <c r="I108" s="84">
        <f t="shared" ref="I108" si="50">(1+H108)*(1+I107)-1</f>
        <v>0.41125011177360338</v>
      </c>
      <c r="J108" s="84">
        <f t="shared" ref="J108" si="51">(1+I108)*(1+J107)-1</f>
        <v>0.47334511669164203</v>
      </c>
      <c r="K108" s="84">
        <f t="shared" ref="K108" si="52">(1+J108)*(1+K107)-1</f>
        <v>0.53817230182607423</v>
      </c>
      <c r="L108" s="84">
        <f t="shared" ref="L108" si="53">(1+K108)*(1+L107)-1</f>
        <v>0.60585188310642146</v>
      </c>
      <c r="M108" s="84">
        <f t="shared" ref="M108" si="54">(1+L108)*(1+M107)-1</f>
        <v>0.67650936596310407</v>
      </c>
      <c r="N108" s="84">
        <f t="shared" ref="N108" si="55">(1+M108)*(1+N107)-1</f>
        <v>0.75027577806548074</v>
      </c>
      <c r="O108" s="84">
        <f t="shared" ref="O108" si="56">(1+N108)*(1+O107)-1</f>
        <v>0.82728791230036203</v>
      </c>
      <c r="P108" s="84">
        <f t="shared" ref="P108" si="57">(1+O108)*(1+P107)-1</f>
        <v>0.90768858044157796</v>
      </c>
      <c r="Q108" s="84">
        <f t="shared" ref="Q108" si="58">(1+P108)*(1+Q107)-1</f>
        <v>0.99162687798100757</v>
      </c>
      <c r="R108" s="84">
        <f t="shared" ref="R108" si="59">(1+Q108)*(1+R107)-1</f>
        <v>1.0792584606121718</v>
      </c>
      <c r="S108" s="84">
        <f t="shared" ref="S108" si="60">(1+R108)*(1+S107)-1</f>
        <v>1.1707458328791076</v>
      </c>
      <c r="T108" s="84">
        <f t="shared" ref="T108" si="61">(1+S108)*(1+T107)-1</f>
        <v>1.2662586495257884</v>
      </c>
      <c r="U108" s="84">
        <f t="shared" ref="U108" si="62">(1+T108)*(1+U107)-1</f>
        <v>1.365974030104923</v>
      </c>
      <c r="V108" s="84">
        <f t="shared" ref="V108" si="63">(1+U108)*(1+V107)-1</f>
        <v>1.4700768874295398</v>
      </c>
      <c r="W108" s="84">
        <f t="shared" ref="W108" si="64">(1+V108)*(1+W107)-1</f>
        <v>1.5787602704764399</v>
      </c>
      <c r="X108" s="84">
        <f t="shared" ref="X108" si="65">(1+W108)*(1+X107)-1</f>
        <v>1.6922257223774033</v>
      </c>
      <c r="Y108" s="84">
        <f t="shared" ref="Y108" si="66">(1+X108)*(1+Y107)-1</f>
        <v>1.810683654162009</v>
      </c>
      <c r="Z108" s="84">
        <f t="shared" ref="Z108" si="67">(1+Y108)*(1+Z107)-1</f>
        <v>1.9343537349451374</v>
      </c>
      <c r="AA108" s="84">
        <f t="shared" ref="AA108" si="68">(1+Z108)*(1+AA107)-1</f>
        <v>2.0634652992827234</v>
      </c>
    </row>
    <row r="109" spans="1:27" ht="16.5" thickBot="1">
      <c r="A109" s="85" t="s">
        <v>23</v>
      </c>
      <c r="B109" s="86"/>
      <c r="C109" s="87">
        <f>B84*0.12*1.075</f>
        <v>9769016.9491525441</v>
      </c>
      <c r="D109" s="87">
        <f>C109*(1+D107)</f>
        <v>10198853.694915257</v>
      </c>
      <c r="E109" s="87">
        <f t="shared" ref="E109" si="69">D109*(1+E107)</f>
        <v>10647603.257491529</v>
      </c>
      <c r="F109" s="87">
        <f t="shared" ref="F109" si="70">E109*(1+F107)</f>
        <v>11116097.800821157</v>
      </c>
      <c r="G109" s="87">
        <f t="shared" ref="G109" si="71">F109*(1+G107)</f>
        <v>11605206.104057288</v>
      </c>
      <c r="H109" s="87">
        <f t="shared" ref="H109" si="72">G109*(1+H107)</f>
        <v>12115835.172635809</v>
      </c>
      <c r="I109" s="87">
        <f t="shared" ref="I109" si="73">H109*(1+I107)</f>
        <v>12648931.920231784</v>
      </c>
      <c r="J109" s="87">
        <f t="shared" ref="J109" si="74">I109*(1+J107)</f>
        <v>13205484.924721982</v>
      </c>
      <c r="K109" s="87">
        <f t="shared" ref="K109" si="75">J109*(1+K107)</f>
        <v>13786526.26140975</v>
      </c>
      <c r="L109" s="87">
        <f t="shared" ref="L109" si="76">K109*(1+L107)</f>
        <v>14393133.416911779</v>
      </c>
      <c r="M109" s="87">
        <f t="shared" ref="M109" si="77">L109*(1+M107)</f>
        <v>15026431.287255898</v>
      </c>
      <c r="N109" s="87">
        <f t="shared" ref="N109" si="78">M109*(1+N107)</f>
        <v>15687594.263895158</v>
      </c>
      <c r="O109" s="87">
        <f t="shared" ref="O109" si="79">N109*(1+O107)</f>
        <v>16377848.411506545</v>
      </c>
      <c r="P109" s="87">
        <f t="shared" ref="P109" si="80">O109*(1+P107)</f>
        <v>17098473.741612833</v>
      </c>
      <c r="Q109" s="87">
        <f t="shared" ref="Q109" si="81">P109*(1+Q107)</f>
        <v>17850806.586243797</v>
      </c>
      <c r="R109" s="87">
        <f t="shared" ref="R109" si="82">Q109*(1+R107)</f>
        <v>18636242.076038525</v>
      </c>
      <c r="S109" s="87">
        <f t="shared" ref="S109" si="83">R109*(1+S107)</f>
        <v>19456236.727384221</v>
      </c>
      <c r="T109" s="87">
        <f t="shared" ref="T109" si="84">S109*(1+T107)</f>
        <v>20312311.143389128</v>
      </c>
      <c r="U109" s="87">
        <f t="shared" ref="U109" si="85">T109*(1+U107)</f>
        <v>21206052.83369825</v>
      </c>
      <c r="V109" s="87">
        <f t="shared" ref="V109" si="86">U109*(1+V107)</f>
        <v>22139119.158380974</v>
      </c>
      <c r="W109" s="87">
        <f t="shared" ref="W109" si="87">V109*(1+W107)</f>
        <v>23113240.401349738</v>
      </c>
      <c r="X109" s="87">
        <f t="shared" ref="X109" si="88">W109*(1+X107)</f>
        <v>24130222.979009129</v>
      </c>
      <c r="Y109" s="87">
        <f t="shared" ref="Y109" si="89">X109*(1+Y107)</f>
        <v>25191952.790085532</v>
      </c>
      <c r="Z109" s="87">
        <f t="shared" ref="Z109" si="90">Y109*(1+Z107)</f>
        <v>26300398.712849297</v>
      </c>
      <c r="AA109" s="87">
        <f t="shared" ref="AA109" si="91">Z109*(1+AA107)</f>
        <v>27457616.256214667</v>
      </c>
    </row>
    <row r="110" spans="1:27" ht="16.5" thickBot="1"/>
    <row r="111" spans="1:27" ht="47.25">
      <c r="A111" s="88" t="s">
        <v>24</v>
      </c>
      <c r="B111" s="78" t="s">
        <v>553</v>
      </c>
      <c r="C111" s="79">
        <f>C106</f>
        <v>2017</v>
      </c>
      <c r="D111" s="80">
        <f t="shared" ref="D111" si="92">C111+1</f>
        <v>2018</v>
      </c>
      <c r="E111" s="80">
        <f t="shared" ref="E111" si="93">D111+1</f>
        <v>2019</v>
      </c>
      <c r="F111" s="80">
        <f t="shared" ref="F111" si="94">E111+1</f>
        <v>2020</v>
      </c>
      <c r="G111" s="80">
        <f t="shared" ref="G111" si="95">F111+1</f>
        <v>2021</v>
      </c>
      <c r="H111" s="80">
        <f t="shared" ref="H111" si="96">G111+1</f>
        <v>2022</v>
      </c>
      <c r="I111" s="80">
        <f t="shared" ref="I111" si="97">H111+1</f>
        <v>2023</v>
      </c>
      <c r="J111" s="80">
        <f t="shared" ref="J111" si="98">I111+1</f>
        <v>2024</v>
      </c>
      <c r="K111" s="80">
        <f t="shared" ref="K111" si="99">J111+1</f>
        <v>2025</v>
      </c>
      <c r="L111" s="80">
        <f t="shared" ref="L111" si="100">K111+1</f>
        <v>2026</v>
      </c>
      <c r="M111" s="80">
        <f t="shared" ref="M111" si="101">L111+1</f>
        <v>2027</v>
      </c>
      <c r="N111" s="80">
        <f t="shared" ref="N111" si="102">M111+1</f>
        <v>2028</v>
      </c>
      <c r="O111" s="80">
        <f t="shared" ref="O111" si="103">N111+1</f>
        <v>2029</v>
      </c>
      <c r="P111" s="80">
        <f t="shared" ref="P111" si="104">O111+1</f>
        <v>2030</v>
      </c>
      <c r="Q111" s="80">
        <f t="shared" ref="Q111" si="105">P111+1</f>
        <v>2031</v>
      </c>
      <c r="R111" s="80">
        <f t="shared" ref="R111" si="106">Q111+1</f>
        <v>2032</v>
      </c>
      <c r="S111" s="80">
        <f t="shared" ref="S111" si="107">R111+1</f>
        <v>2033</v>
      </c>
      <c r="T111" s="80">
        <f t="shared" ref="T111" si="108">S111+1</f>
        <v>2034</v>
      </c>
      <c r="U111" s="80">
        <f t="shared" ref="U111" si="109">T111+1</f>
        <v>2035</v>
      </c>
      <c r="V111" s="80">
        <f t="shared" ref="V111" si="110">U111+1</f>
        <v>2036</v>
      </c>
      <c r="W111" s="80">
        <f t="shared" ref="W111" si="111">V111+1</f>
        <v>2037</v>
      </c>
      <c r="X111" s="80">
        <f t="shared" ref="X111" si="112">W111+1</f>
        <v>2038</v>
      </c>
      <c r="Y111" s="80">
        <f t="shared" ref="Y111" si="113">X111+1</f>
        <v>2039</v>
      </c>
      <c r="Z111" s="80">
        <f t="shared" ref="Z111" si="114">Y111+1</f>
        <v>2040</v>
      </c>
      <c r="AA111" s="80">
        <f t="shared" ref="AA111" si="115">Z111+1</f>
        <v>2041</v>
      </c>
    </row>
    <row r="112" spans="1:27">
      <c r="A112" s="89" t="s">
        <v>25</v>
      </c>
      <c r="B112" s="90">
        <v>0</v>
      </c>
      <c r="C112" s="90">
        <f t="shared" ref="C112" si="116">B112+B113-B114</f>
        <v>0</v>
      </c>
      <c r="D112" s="90">
        <f>C112+C113-C114</f>
        <v>11881355.93220339</v>
      </c>
      <c r="E112" s="90">
        <f>D112+D113-D114</f>
        <v>16084745.762711864</v>
      </c>
      <c r="F112" s="90">
        <f t="shared" ref="F112" si="117">E112+E113-E114</f>
        <v>16084745.762711864</v>
      </c>
      <c r="G112" s="90">
        <f t="shared" ref="G112" si="118">F112+F113-F114</f>
        <v>17483050.847457625</v>
      </c>
      <c r="H112" s="90">
        <f t="shared" ref="H112" si="119">G112+G113-G114</f>
        <v>14985472.15496368</v>
      </c>
      <c r="I112" s="90">
        <f>H112+H113-H114</f>
        <v>12487893.462469734</v>
      </c>
      <c r="J112" s="90">
        <f t="shared" ref="J112" si="120">I112+I113-I114</f>
        <v>9990314.7699757889</v>
      </c>
      <c r="K112" s="90">
        <f t="shared" ref="K112" si="121">J112+J113-J114</f>
        <v>7492736.0774818426</v>
      </c>
      <c r="L112" s="90">
        <f t="shared" ref="L112" si="122">K112+K113-K114</f>
        <v>4995157.3849878963</v>
      </c>
      <c r="M112" s="90">
        <f>L112+L113-L114</f>
        <v>2497578.69249395</v>
      </c>
      <c r="N112" s="90">
        <f t="shared" ref="N112" si="123">M112+M113-M114</f>
        <v>3.7252902984619141E-9</v>
      </c>
      <c r="O112" s="90">
        <f t="shared" ref="O112" si="124">N112+N113-N114</f>
        <v>3.7252902984619141E-9</v>
      </c>
      <c r="P112" s="90">
        <f t="shared" ref="P112" si="125">O112+O113-O114</f>
        <v>3.7252902984619141E-9</v>
      </c>
      <c r="Q112" s="90">
        <f t="shared" ref="Q112" si="126">P112+P113-P114</f>
        <v>3.7252902984619141E-9</v>
      </c>
      <c r="R112" s="344">
        <f t="shared" ref="R112" si="127">Q112+Q113-Q114</f>
        <v>3.7252902984619141E-9</v>
      </c>
      <c r="S112" s="344">
        <f t="shared" ref="S112" si="128">R112+R113-R114</f>
        <v>3.7252902984619141E-9</v>
      </c>
      <c r="T112" s="344">
        <f t="shared" ref="T112" si="129">S112+S113-S114</f>
        <v>3.7252902984619141E-9</v>
      </c>
      <c r="U112" s="344">
        <f t="shared" ref="U112" si="130">T112+T113-T114</f>
        <v>3.7252902984619141E-9</v>
      </c>
      <c r="V112" s="344">
        <f t="shared" ref="V112" si="131">U112+U113-U114</f>
        <v>3.7252902984619141E-9</v>
      </c>
      <c r="W112" s="344">
        <f t="shared" ref="W112" si="132">V112+V113-V114</f>
        <v>3.7252902984619141E-9</v>
      </c>
      <c r="X112" s="344">
        <f t="shared" ref="X112" si="133">W112+W113-W114</f>
        <v>3.7252902984619141E-9</v>
      </c>
      <c r="Y112" s="344">
        <f t="shared" ref="Y112" si="134">X112+X113-X114</f>
        <v>3.7252902984619141E-9</v>
      </c>
      <c r="Z112" s="344">
        <f t="shared" ref="Z112" si="135">Y112+Y113-Y114</f>
        <v>3.7252902984619141E-9</v>
      </c>
      <c r="AA112" s="344">
        <f t="shared" ref="AA112" si="136">Z112+Z113-Z114</f>
        <v>3.7252902984619141E-9</v>
      </c>
    </row>
    <row r="113" spans="1:27">
      <c r="A113" s="89" t="s">
        <v>26</v>
      </c>
      <c r="B113" s="596">
        <v>0</v>
      </c>
      <c r="C113" s="596">
        <f>14.02/1.18*1000000</f>
        <v>11881355.93220339</v>
      </c>
      <c r="D113" s="596">
        <f>4.96/1.18*1000000</f>
        <v>4203389.8305084752</v>
      </c>
      <c r="E113" s="596">
        <v>0</v>
      </c>
      <c r="F113" s="596">
        <f>1.65/1.18*1000000</f>
        <v>1398305.0847457629</v>
      </c>
      <c r="G113" s="90">
        <v>0</v>
      </c>
      <c r="H113" s="124">
        <v>0</v>
      </c>
      <c r="I113" s="124">
        <v>0</v>
      </c>
      <c r="J113" s="124">
        <v>0</v>
      </c>
      <c r="K113" s="124">
        <v>0</v>
      </c>
      <c r="L113" s="124">
        <v>0</v>
      </c>
      <c r="M113" s="124">
        <v>0</v>
      </c>
      <c r="N113" s="124">
        <v>0</v>
      </c>
      <c r="O113" s="124">
        <v>0</v>
      </c>
      <c r="P113" s="124">
        <v>0</v>
      </c>
      <c r="Q113" s="124">
        <v>0</v>
      </c>
      <c r="R113" s="344">
        <v>0</v>
      </c>
      <c r="S113" s="344">
        <v>0</v>
      </c>
      <c r="T113" s="344">
        <v>0</v>
      </c>
      <c r="U113" s="344">
        <v>0</v>
      </c>
      <c r="V113" s="344">
        <v>0</v>
      </c>
      <c r="W113" s="344">
        <v>0</v>
      </c>
      <c r="X113" s="344">
        <v>0</v>
      </c>
      <c r="Y113" s="344">
        <v>0</v>
      </c>
      <c r="Z113" s="344">
        <v>0</v>
      </c>
      <c r="AA113" s="344">
        <v>0</v>
      </c>
    </row>
    <row r="114" spans="1:27">
      <c r="A114" s="83" t="s">
        <v>27</v>
      </c>
      <c r="B114" s="124">
        <v>0</v>
      </c>
      <c r="C114" s="124">
        <v>0</v>
      </c>
      <c r="D114" s="124">
        <v>0</v>
      </c>
      <c r="E114" s="124"/>
      <c r="F114" s="90"/>
      <c r="G114" s="124">
        <f>G112/7</f>
        <v>2497578.6924939463</v>
      </c>
      <c r="H114" s="90">
        <f>IF(ROUND(H112,1)=0,0,G114+H113/$B$30)</f>
        <v>2497578.6924939463</v>
      </c>
      <c r="I114" s="90">
        <f>IF(ROUND(I112,1)=0,0,H114+I113/$B$30)</f>
        <v>2497578.6924939463</v>
      </c>
      <c r="J114" s="90">
        <f>IF(ROUND(J112,1)=0,0,I114+J113/B99)</f>
        <v>2497578.6924939463</v>
      </c>
      <c r="K114" s="90">
        <f>IF(ROUND(K112,1)=0,0,J114+K113/B99)</f>
        <v>2497578.6924939463</v>
      </c>
      <c r="L114" s="90">
        <f>IF(ROUND(L112,1)=0,0,K114+L113/B99)</f>
        <v>2497578.6924939463</v>
      </c>
      <c r="M114" s="90">
        <f>IF(ROUND(M112,1)=0,0,L114+M113/B99)</f>
        <v>2497578.6924939463</v>
      </c>
      <c r="N114" s="90">
        <f>IF(ROUND(N112,1)=0,0,M114+N113/B99)</f>
        <v>0</v>
      </c>
      <c r="O114" s="90">
        <f>IF(ROUND(O112,1)=0,0,N114+O113/B99)</f>
        <v>0</v>
      </c>
      <c r="P114" s="90">
        <f>IF(ROUND(P112,1)=0,0,O114+P113/B99)</f>
        <v>0</v>
      </c>
      <c r="Q114" s="90">
        <f>IF(ROUND(Q112,1)=0,0,P114+Q113/B99)</f>
        <v>0</v>
      </c>
      <c r="R114" s="344">
        <f>IF(ROUND(R112,1)=0,0,Q114+R113/B99)</f>
        <v>0</v>
      </c>
      <c r="S114" s="344">
        <f>IF(ROUND(S112,1)=0,0,R114+S113/B99)</f>
        <v>0</v>
      </c>
      <c r="T114" s="344">
        <f>IF(ROUND(T112,1)=0,0,S114+T113/B99)</f>
        <v>0</v>
      </c>
      <c r="U114" s="344">
        <f>IF(ROUND(U112,1)=0,0,T114+U113/B99)</f>
        <v>0</v>
      </c>
      <c r="V114" s="344">
        <f>IF(ROUND(V112,1)=0,0,U114+V113/B99)</f>
        <v>0</v>
      </c>
      <c r="W114" s="344">
        <f>IF(ROUND(W112,1)=0,0,V114+W113/B99)</f>
        <v>0</v>
      </c>
      <c r="X114" s="344">
        <f>IF(ROUND(X112,1)=0,0,W114+X113/B99)</f>
        <v>0</v>
      </c>
      <c r="Y114" s="344">
        <f>IF(ROUND(Y112,1)=0,0,X114+Y113/B99)</f>
        <v>0</v>
      </c>
      <c r="Z114" s="344">
        <f>IF(ROUND(Z112,1)=0,0,Y114+Z113/B99)</f>
        <v>0</v>
      </c>
      <c r="AA114" s="344">
        <f>IF(ROUND(AA112,1)=0,0,Z114+AA113/B99)</f>
        <v>0</v>
      </c>
    </row>
    <row r="115" spans="1:27" ht="16.5" thickBot="1">
      <c r="A115" s="85" t="s">
        <v>28</v>
      </c>
      <c r="B115" s="91">
        <f>AVERAGE(SUM(B112:B113),(SUM(B112:B113)-B114))*B101</f>
        <v>0</v>
      </c>
      <c r="C115" s="91">
        <f>AVERAGE(SUM(C112:C113),(SUM(C112:C113)-C114))*B101</f>
        <v>2016384.9152542374</v>
      </c>
      <c r="D115" s="91">
        <f>AVERAGE(SUM(D112:D113),(SUM(D112:D113)-D114))*B101</f>
        <v>2729742.2033898304</v>
      </c>
      <c r="E115" s="91">
        <f>AVERAGE(SUM(E112:E113),(SUM(E112:E113)-E114))*B101</f>
        <v>2729742.2033898304</v>
      </c>
      <c r="F115" s="91">
        <f>AVERAGE(SUM(F112:F113),(SUM(F112:F113)-F114))*B101</f>
        <v>2967048.5593220335</v>
      </c>
      <c r="G115" s="91">
        <f>AVERAGE(SUM(G112:G113),(SUM(G112:G113)-G114))*B101</f>
        <v>2755116.51937046</v>
      </c>
      <c r="H115" s="91">
        <f>AVERAGE(SUM(H112:H113),(SUM(H112:H113)-H114))*B101</f>
        <v>2331252.4394673123</v>
      </c>
      <c r="I115" s="91">
        <f>AVERAGE(SUM(I112:I113),(SUM(I112:I113)-I114))*B101</f>
        <v>1907388.3595641649</v>
      </c>
      <c r="J115" s="91">
        <f>AVERAGE(SUM(J112:J113),(SUM(J112:J113)-J114))*B101</f>
        <v>1483524.2796610175</v>
      </c>
      <c r="K115" s="91">
        <f>AVERAGE(SUM(K112:K113),(SUM(K112:K113)-K114))*B101</f>
        <v>1059660.1997578696</v>
      </c>
      <c r="L115" s="91">
        <f>AVERAGE(SUM(L112:L113),(SUM(L112:L113)-L114))*B101</f>
        <v>635796.11985472206</v>
      </c>
      <c r="M115" s="91">
        <f>AVERAGE(SUM(M112:M113),(SUM(M112:M113)-M114))*B101</f>
        <v>211932.03995157444</v>
      </c>
      <c r="N115" s="91">
        <f>AVERAGE(SUM(N112:N113),(SUM(N112:N113)-N114))*B101</f>
        <v>6.3221901655197143E-10</v>
      </c>
      <c r="O115" s="91">
        <f>AVERAGE(SUM(O112:O113),(SUM(O112:O113)-O114))*B101</f>
        <v>6.3221901655197143E-10</v>
      </c>
      <c r="P115" s="91">
        <f>AVERAGE(SUM(P112:P113),(SUM(P112:P113)-P114))*B101</f>
        <v>6.3221901655197143E-10</v>
      </c>
      <c r="Q115" s="91">
        <f>AVERAGE(SUM(Q112:Q113),(SUM(Q112:Q113)-Q114))*B101</f>
        <v>6.3221901655197143E-10</v>
      </c>
      <c r="R115" s="345">
        <f>AVERAGE(SUM(R112:R113),(SUM(R112:R113)-R114))*B101</f>
        <v>6.3221901655197143E-10</v>
      </c>
      <c r="S115" s="345">
        <f>AVERAGE(SUM(S112:S113),(SUM(S112:S113)-S114))*B101</f>
        <v>6.3221901655197143E-10</v>
      </c>
      <c r="T115" s="345">
        <f>AVERAGE(SUM(T112:T113),(SUM(T112:T113)-T114))*B101</f>
        <v>6.3221901655197143E-10</v>
      </c>
      <c r="U115" s="345">
        <f>AVERAGE(SUM(U112:U113),(SUM(U112:U113)-U114))*B101</f>
        <v>6.3221901655197143E-10</v>
      </c>
      <c r="V115" s="345">
        <f>AVERAGE(SUM(V112:V113),(SUM(V112:V113)-V114))*B101</f>
        <v>6.3221901655197143E-10</v>
      </c>
      <c r="W115" s="345">
        <f>AVERAGE(SUM(W112:W113),(SUM(W112:W113)-W114))*B101</f>
        <v>6.3221901655197143E-10</v>
      </c>
      <c r="X115" s="345">
        <f>AVERAGE(SUM(X112:X113),(SUM(X112:X113)-X114))*B101</f>
        <v>6.3221901655197143E-10</v>
      </c>
      <c r="Y115" s="345">
        <f>AVERAGE(SUM(Y112:Y113),(SUM(Y112:Y113)-Y114))*B101</f>
        <v>6.3221901655197143E-10</v>
      </c>
      <c r="Z115" s="345">
        <f>AVERAGE(SUM(Z112:Z113),(SUM(Z112:Z113)-Z114))*B101</f>
        <v>6.3221901655197143E-10</v>
      </c>
      <c r="AA115" s="345">
        <f>AVERAGE(SUM(AA112:AA113),(SUM(AA112:AA113)-AA114))*B101</f>
        <v>6.3221901655197143E-10</v>
      </c>
    </row>
    <row r="116" spans="1:27" ht="16.5" thickBot="1">
      <c r="A116" s="92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</row>
    <row r="117" spans="1:27" ht="47.25">
      <c r="A117" s="88" t="s">
        <v>29</v>
      </c>
      <c r="B117" s="78" t="s">
        <v>553</v>
      </c>
      <c r="C117" s="79">
        <f>C111</f>
        <v>2017</v>
      </c>
      <c r="D117" s="80">
        <f t="shared" ref="D117" si="137">C117+1</f>
        <v>2018</v>
      </c>
      <c r="E117" s="80">
        <f t="shared" ref="E117" si="138">D117+1</f>
        <v>2019</v>
      </c>
      <c r="F117" s="80">
        <f t="shared" ref="F117" si="139">E117+1</f>
        <v>2020</v>
      </c>
      <c r="G117" s="80">
        <f t="shared" ref="G117" si="140">F117+1</f>
        <v>2021</v>
      </c>
      <c r="H117" s="80">
        <f t="shared" ref="H117" si="141">G117+1</f>
        <v>2022</v>
      </c>
      <c r="I117" s="80">
        <f t="shared" ref="I117" si="142">H117+1</f>
        <v>2023</v>
      </c>
      <c r="J117" s="80">
        <f t="shared" ref="J117" si="143">I117+1</f>
        <v>2024</v>
      </c>
      <c r="K117" s="80">
        <f t="shared" ref="K117" si="144">J117+1</f>
        <v>2025</v>
      </c>
      <c r="L117" s="80">
        <f t="shared" ref="L117" si="145">K117+1</f>
        <v>2026</v>
      </c>
      <c r="M117" s="80">
        <f t="shared" ref="M117" si="146">L117+1</f>
        <v>2027</v>
      </c>
      <c r="N117" s="80">
        <f t="shared" ref="N117" si="147">M117+1</f>
        <v>2028</v>
      </c>
      <c r="O117" s="80">
        <f t="shared" ref="O117" si="148">N117+1</f>
        <v>2029</v>
      </c>
      <c r="P117" s="80">
        <f t="shared" ref="P117" si="149">O117+1</f>
        <v>2030</v>
      </c>
      <c r="Q117" s="80">
        <f t="shared" ref="Q117" si="150">P117+1</f>
        <v>2031</v>
      </c>
      <c r="R117" s="80">
        <f t="shared" ref="R117" si="151">Q117+1</f>
        <v>2032</v>
      </c>
      <c r="S117" s="80">
        <f t="shared" ref="S117" si="152">R117+1</f>
        <v>2033</v>
      </c>
      <c r="T117" s="80">
        <f t="shared" ref="T117" si="153">S117+1</f>
        <v>2034</v>
      </c>
      <c r="U117" s="80">
        <f t="shared" ref="U117" si="154">T117+1</f>
        <v>2035</v>
      </c>
      <c r="V117" s="80">
        <f t="shared" ref="V117" si="155">U117+1</f>
        <v>2036</v>
      </c>
      <c r="W117" s="80">
        <f t="shared" ref="W117" si="156">V117+1</f>
        <v>2037</v>
      </c>
      <c r="X117" s="80">
        <f t="shared" ref="X117" si="157">W117+1</f>
        <v>2038</v>
      </c>
      <c r="Y117" s="80">
        <f t="shared" ref="Y117" si="158">X117+1</f>
        <v>2039</v>
      </c>
      <c r="Z117" s="80">
        <f t="shared" ref="Z117" si="159">Y117+1</f>
        <v>2040</v>
      </c>
      <c r="AA117" s="80">
        <f t="shared" ref="AA117" si="160">Z117+1</f>
        <v>2041</v>
      </c>
    </row>
    <row r="118" spans="1:27">
      <c r="A118" s="94" t="s">
        <v>30</v>
      </c>
      <c r="B118" s="95"/>
      <c r="C118" s="95">
        <f>C109*B87</f>
        <v>9769016.9491525441</v>
      </c>
      <c r="D118" s="95">
        <f>D109*B87</f>
        <v>10198853.694915257</v>
      </c>
      <c r="E118" s="95">
        <f>E109*B87</f>
        <v>10647603.257491529</v>
      </c>
      <c r="F118" s="95">
        <f>F109*B87</f>
        <v>11116097.800821157</v>
      </c>
      <c r="G118" s="95">
        <f>G109*B87</f>
        <v>11605206.104057288</v>
      </c>
      <c r="H118" s="95">
        <f>H109*B87</f>
        <v>12115835.172635809</v>
      </c>
      <c r="I118" s="95">
        <f>I109*B87</f>
        <v>12648931.920231784</v>
      </c>
      <c r="J118" s="95">
        <f>J109*B87</f>
        <v>13205484.924721982</v>
      </c>
      <c r="K118" s="95">
        <f>K109*B87</f>
        <v>13786526.26140975</v>
      </c>
      <c r="L118" s="95">
        <f>L109*B87</f>
        <v>14393133.416911779</v>
      </c>
      <c r="M118" s="95">
        <f>M109*B87</f>
        <v>15026431.287255898</v>
      </c>
      <c r="N118" s="95">
        <f>N109*B87</f>
        <v>15687594.263895158</v>
      </c>
      <c r="O118" s="95">
        <f>O109*B87</f>
        <v>16377848.411506545</v>
      </c>
      <c r="P118" s="95">
        <f>P109*B87</f>
        <v>17098473.741612833</v>
      </c>
      <c r="Q118" s="95">
        <f>Q109*B87</f>
        <v>17850806.586243797</v>
      </c>
      <c r="R118" s="95">
        <f>R109*B87</f>
        <v>18636242.076038525</v>
      </c>
      <c r="S118" s="95">
        <f>S109*B87</f>
        <v>19456236.727384221</v>
      </c>
      <c r="T118" s="95">
        <f>T109*B87</f>
        <v>20312311.143389128</v>
      </c>
      <c r="U118" s="95">
        <f>U109*B87</f>
        <v>21206052.83369825</v>
      </c>
      <c r="V118" s="95">
        <f>V109*B87</f>
        <v>22139119.158380974</v>
      </c>
      <c r="W118" s="95">
        <f>W109*B87</f>
        <v>23113240.401349738</v>
      </c>
      <c r="X118" s="95">
        <f>X109*B87</f>
        <v>24130222.979009129</v>
      </c>
      <c r="Y118" s="95">
        <f>Y109*B87</f>
        <v>25191952.790085532</v>
      </c>
      <c r="Z118" s="95">
        <f>Z109*B87</f>
        <v>26300398.712849297</v>
      </c>
      <c r="AA118" s="95">
        <f>AA109*B87</f>
        <v>27457616.256214667</v>
      </c>
    </row>
    <row r="119" spans="1:27">
      <c r="A119" s="89" t="s">
        <v>31</v>
      </c>
      <c r="B119" s="96"/>
      <c r="C119" s="96">
        <f>SUM(C120:C125)</f>
        <v>-776735.52115525445</v>
      </c>
      <c r="D119" s="96">
        <f t="shared" ref="D119:AA119" si="161">SUM(D120:D125)</f>
        <v>-1267596.5846510576</v>
      </c>
      <c r="E119" s="96">
        <f t="shared" si="161"/>
        <v>-1751664.1496299412</v>
      </c>
      <c r="F119" s="96">
        <f t="shared" si="161"/>
        <v>-1603610.8501797605</v>
      </c>
      <c r="G119" s="96">
        <f t="shared" si="161"/>
        <v>-1923706.2066837153</v>
      </c>
      <c r="H119" s="96">
        <f t="shared" si="161"/>
        <v>-1887780.5294953131</v>
      </c>
      <c r="I119" s="96">
        <f t="shared" si="161"/>
        <v>-1852717.6388948015</v>
      </c>
      <c r="J119" s="96">
        <f t="shared" si="161"/>
        <v>-1818555.4974920484</v>
      </c>
      <c r="K119" s="96">
        <f t="shared" si="161"/>
        <v>-1785333.7382517555</v>
      </c>
      <c r="L119" s="96">
        <f t="shared" si="161"/>
        <v>-1753093.7379890699</v>
      </c>
      <c r="M119" s="96">
        <f t="shared" si="161"/>
        <v>-1721878.6940990069</v>
      </c>
      <c r="N119" s="96">
        <f t="shared" si="161"/>
        <v>-1691733.7046619619</v>
      </c>
      <c r="O119" s="96">
        <f t="shared" si="161"/>
        <v>-1662705.8520738683</v>
      </c>
      <c r="P119" s="96">
        <f t="shared" si="161"/>
        <v>-1634844.2903560787</v>
      </c>
      <c r="Q119" s="96">
        <f t="shared" si="161"/>
        <v>-1608200.3363068877</v>
      </c>
      <c r="R119" s="96">
        <f t="shared" si="161"/>
        <v>-1582827.5646637124</v>
      </c>
      <c r="S119" s="96">
        <f t="shared" si="161"/>
        <v>-1558781.9074524185</v>
      </c>
      <c r="T119" s="96">
        <f t="shared" si="161"/>
        <v>-1591656.2209848447</v>
      </c>
      <c r="U119" s="96">
        <f t="shared" si="161"/>
        <v>-1625977.0043126978</v>
      </c>
      <c r="V119" s="96">
        <f t="shared" si="161"/>
        <v>-1661807.9021069761</v>
      </c>
      <c r="W119" s="96">
        <f t="shared" si="161"/>
        <v>-1699215.359404203</v>
      </c>
      <c r="X119" s="96">
        <f t="shared" si="161"/>
        <v>-1738268.7448225077</v>
      </c>
      <c r="Y119" s="96">
        <f t="shared" si="161"/>
        <v>-1779040.4791992179</v>
      </c>
      <c r="Z119" s="96">
        <f t="shared" si="161"/>
        <v>-1821606.1698885034</v>
      </c>
      <c r="AA119" s="96">
        <f t="shared" si="161"/>
        <v>-1866044.7509681173</v>
      </c>
    </row>
    <row r="120" spans="1:27">
      <c r="A120" s="97" t="s">
        <v>32</v>
      </c>
      <c r="B120" s="96"/>
      <c r="C120" s="96">
        <f>-IF(C106&lt;=B89,0,B88*(1+C108)*B87)</f>
        <v>-344189.96576542378</v>
      </c>
      <c r="D120" s="96">
        <f>-IF(D106&lt;=B89,0,B88*(1+D108)*B87)</f>
        <v>-359334.32425910246</v>
      </c>
      <c r="E120" s="96">
        <f>-IF(E106&lt;=B89,0,B88*(1+E108)*B87)</f>
        <v>-375145.034526503</v>
      </c>
      <c r="F120" s="96">
        <f>-IF(F106&lt;=B89,0,B88*(1+F108)*B87)</f>
        <v>-391651.41604566923</v>
      </c>
      <c r="G120" s="96">
        <f>-IF(G106&lt;=B89,0,B88*(1+G108)*B87)</f>
        <v>-408884.07835167862</v>
      </c>
      <c r="H120" s="96">
        <f>-IF(H106&lt;=B89,0,B88*(1+H108)*B87)</f>
        <v>-426874.97779915255</v>
      </c>
      <c r="I120" s="96">
        <f>-IF(I106&lt;=B89,0,B88*(1+I108)*B87)</f>
        <v>-445657.47682231531</v>
      </c>
      <c r="J120" s="96">
        <f>-IF(J106&lt;=B89,0,B88*(1+J108)*B87)</f>
        <v>-465266.40580249717</v>
      </c>
      <c r="K120" s="96">
        <f>-IF(K106&lt;=B89,0,B88*(1+K108)*B87)</f>
        <v>-485738.12765780708</v>
      </c>
      <c r="L120" s="96">
        <f>-IF(L106&lt;=B89,0,B88*(1+L108)*B87)</f>
        <v>-507110.60527475056</v>
      </c>
      <c r="M120" s="96">
        <f>-IF(M106&lt;=B89,0,B88*(1+M108)*B87)</f>
        <v>-529423.47190683964</v>
      </c>
      <c r="N120" s="96">
        <f>-IF(N106&lt;=B89,0,B88*(1+N108)*B87)</f>
        <v>-552718.10467074055</v>
      </c>
      <c r="O120" s="96">
        <f>-IF(O106&lt;=B89,0,B88*(1+O108)*B87)</f>
        <v>-577037.70127625321</v>
      </c>
      <c r="P120" s="96">
        <f>-IF(P106&lt;=B89,0,B88*(1+P108)*B87)</f>
        <v>-602427.36013240833</v>
      </c>
      <c r="Q120" s="96">
        <f>-IF(Q106&lt;=B89,0,B88*(1+Q108)*B87)</f>
        <v>-628934.1639782344</v>
      </c>
      <c r="R120" s="96">
        <f>-IF(R106&lt;=B89,0,B88*(1+R108)*B87)</f>
        <v>-656607.26719327667</v>
      </c>
      <c r="S120" s="96">
        <f>-IF(S106&lt;=B89,0,B88*(1+S108)*B87)</f>
        <v>-685497.98694978084</v>
      </c>
      <c r="T120" s="96">
        <f>-IF(T106&lt;=B89,0,B88*(1+T108)*B87)</f>
        <v>-715659.89837557124</v>
      </c>
      <c r="U120" s="96">
        <f>-IF(U106&lt;=B89,0,B88*(1+U108)*B87)</f>
        <v>-747148.93390409637</v>
      </c>
      <c r="V120" s="96">
        <f>-IF(V106&lt;=B89,0,B88*(1+V108)*B87)</f>
        <v>-780023.48699587665</v>
      </c>
      <c r="W120" s="96">
        <f>-IF(W106&lt;=B89,0,B88*(1+W108)*B87)</f>
        <v>-814344.52042369533</v>
      </c>
      <c r="X120" s="96">
        <f>-IF(X106&lt;=B89,0,B88*(1+X108)*B87)</f>
        <v>-850175.67932233796</v>
      </c>
      <c r="Y120" s="96">
        <f>-IF(Y106&lt;=B89,0,B88*(1+Y108)*B87)</f>
        <v>-887583.40921252081</v>
      </c>
      <c r="Z120" s="96">
        <f>-IF(Z106&lt;=B89,0,B88*(1+Z108)*B87)</f>
        <v>-926637.07921787177</v>
      </c>
      <c r="AA120" s="96">
        <f>-IF(AA106&lt;=B89,0,B88*(1+AA108)*B87)</f>
        <v>-967409.11070345808</v>
      </c>
    </row>
    <row r="121" spans="1:27">
      <c r="A121" s="97" t="str">
        <f>A91</f>
        <v>Прочие расходы при эксплуатации объекта, руб. без НДС</v>
      </c>
      <c r="B121" s="96"/>
      <c r="C121" s="96">
        <f>-IF(C106&lt;=B92,0,B91*(1+C108)*B87)</f>
        <v>-30952.335050847461</v>
      </c>
      <c r="D121" s="96">
        <f>-IF(D106&lt;=B92,0,B91*(1+D108)*B87)</f>
        <v>-32314.237793084754</v>
      </c>
      <c r="E121" s="96">
        <f>-IF(E106&lt;=B92,0,B91*(1+E108)*B87)</f>
        <v>-33736.064255980491</v>
      </c>
      <c r="F121" s="96">
        <f>-IF(F106&lt;=B92,0,B91*(1+F108)*B87)</f>
        <v>-35220.451083243635</v>
      </c>
      <c r="G121" s="96">
        <f>-IF(G106&lt;=B92,0,B91*(1+G108)*B87)</f>
        <v>-36770.150930906355</v>
      </c>
      <c r="H121" s="96">
        <f>-IF(H106&lt;=B92,0,B91*(1+H108)*B87)</f>
        <v>-38388.037571866233</v>
      </c>
      <c r="I121" s="96">
        <f>-IF(I106&lt;=B92,0,B91*(1+I108)*B87)</f>
        <v>-40077.111225028355</v>
      </c>
      <c r="J121" s="96">
        <f>-IF(J106&lt;=B92,0,B91*(1+J108)*B87)</f>
        <v>-41840.504118929603</v>
      </c>
      <c r="K121" s="96">
        <f>-IF(K106&lt;=B92,0,B91*(1+K108)*B87)</f>
        <v>-43681.486300162505</v>
      </c>
      <c r="L121" s="96">
        <f>-IF(L106&lt;=B92,0,B91*(1+L108)*B87)</f>
        <v>-45603.471697369656</v>
      </c>
      <c r="M121" s="96">
        <f>-IF(M106&lt;=B92,0,B91*(1+M108)*B87)</f>
        <v>-47610.02445205392</v>
      </c>
      <c r="N121" s="96">
        <f>-IF(N106&lt;=B92,0,B91*(1+N108)*B87)</f>
        <v>-49704.865527944297</v>
      </c>
      <c r="O121" s="96">
        <f>-IF(O106&lt;=B92,0,B91*(1+O108)*B87)</f>
        <v>-51891.879611173848</v>
      </c>
      <c r="P121" s="96">
        <f>-IF(P106&lt;=B92,0,B91*(1+P108)*B87)</f>
        <v>-54175.122314065498</v>
      </c>
      <c r="Q121" s="96">
        <f>-IF(Q106&lt;=B92,0,B91*(1+Q108)*B87)</f>
        <v>-56558.827695884385</v>
      </c>
      <c r="R121" s="96">
        <f>-IF(R106&lt;=B92,0,B91*(1+R108)*B87)</f>
        <v>-59047.416114503292</v>
      </c>
      <c r="S121" s="96">
        <f>-IF(S106&lt;=B92,0,B91*(1+S108)*B87)</f>
        <v>-61645.502423541446</v>
      </c>
      <c r="T121" s="96">
        <f>-IF(T106&lt;=B92,0,B91*(1+T108)*B87)</f>
        <v>-64357.904530177271</v>
      </c>
      <c r="U121" s="96">
        <f>-IF(U106&lt;=B92,0,B91*(1+U108)*B87)</f>
        <v>-67189.652329505072</v>
      </c>
      <c r="V121" s="96">
        <f>-IF(V106&lt;=B92,0,B91*(1+V108)*B87)</f>
        <v>-70145.997032003303</v>
      </c>
      <c r="W121" s="96">
        <f>-IF(W106&lt;=B92,0,B91*(1+W108)*B87)</f>
        <v>-73232.420901411446</v>
      </c>
      <c r="X121" s="96">
        <f>-IF(X106&lt;=B92,0,B91*(1+X108)*B87)</f>
        <v>-76454.647421073561</v>
      </c>
      <c r="Y121" s="96">
        <f>-IF(Y106&lt;=B92,0,B91*(1+Y108)*B87)</f>
        <v>-79818.651907600797</v>
      </c>
      <c r="Z121" s="96">
        <f>-IF(Z106&lt;=B92,0,B91*(1+Z108)*B87)</f>
        <v>-83330.672591535229</v>
      </c>
      <c r="AA121" s="96">
        <f>-IF(AA106&lt;=B92,0,B91*(1+AA108)*B87)</f>
        <v>-86997.222185562772</v>
      </c>
    </row>
    <row r="122" spans="1:27">
      <c r="A122" s="97" t="s">
        <v>290</v>
      </c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</row>
    <row r="123" spans="1:27">
      <c r="A123" s="97" t="s">
        <v>290</v>
      </c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</row>
    <row r="124" spans="1:27">
      <c r="A124" s="97" t="s">
        <v>290</v>
      </c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</row>
    <row r="125" spans="1:27">
      <c r="A125" s="97" t="s">
        <v>33</v>
      </c>
      <c r="B125" s="96"/>
      <c r="C125" s="96">
        <f>-21.54/1.18*1000000*2.2%</f>
        <v>-401593.22033898317</v>
      </c>
      <c r="D125" s="96">
        <f>-(((21.54/1.18*1000000+21.16/1.18*1000000)-C127-D127)*2.2%)</f>
        <v>-875948.02259887033</v>
      </c>
      <c r="E125" s="96">
        <f>-((21.16/1.18*1000000+21.162/1.18*1000000+21.16/1.18*1000000)-D127-C127-E127)*2.2%</f>
        <v>-1342783.0508474577</v>
      </c>
      <c r="F125" s="96">
        <f>-(($B$15+$B$16)*$B$18+($B$15+$B$16)*$B$18+SUM(A127:F127))/2*2.2%</f>
        <v>-1176738.9830508477</v>
      </c>
      <c r="G125" s="96">
        <f>-((B84+B85)*B87+(B84+B85)*B87+SUM(B127:G127))/2*2.2%</f>
        <v>-1478051.9774011304</v>
      </c>
      <c r="H125" s="96">
        <f>-((B84+B85)*B87+(B84+B85)*B87+SUM(B127:H127))/2*2.2%</f>
        <v>-1422517.5141242943</v>
      </c>
      <c r="I125" s="96">
        <f>-((B84+B85)*B87+(B84+B85)*B87+SUM(B127:I127))/2*2.2%</f>
        <v>-1366983.050847458</v>
      </c>
      <c r="J125" s="96">
        <f>-((B84+B85)*B87+(B84+B85)*B87+SUM(B127:J127))/2*2.2%</f>
        <v>-1311448.5875706216</v>
      </c>
      <c r="K125" s="96">
        <f>-((B84+B85)*B87+(B84+B85)*B87+SUM(B127:K127))/2*2.2%</f>
        <v>-1255914.1242937858</v>
      </c>
      <c r="L125" s="96">
        <f>-((B84+B85)*B87+(B84+B85)*B87+SUM(B127:L127))/2*2.2%</f>
        <v>-1200379.6610169497</v>
      </c>
      <c r="M125" s="96">
        <f>-((B84+B85)*B87+(B84+B85)*B87+SUM(B127:M127))/2*2.2%</f>
        <v>-1144845.1977401134</v>
      </c>
      <c r="N125" s="96">
        <f>-((B84+B85)*B87+(B84+B85)*B87+SUM(B127:N127))/2*2.2%</f>
        <v>-1089310.734463277</v>
      </c>
      <c r="O125" s="96">
        <f>-((B84+B85)*B87+(B84+B85)*B87+SUM(B127:O127))/2*2.2%</f>
        <v>-1033776.2711864411</v>
      </c>
      <c r="P125" s="96">
        <f>-((B84+B85)*B87+(B84+B85)*B87+SUM(B127:P127))/2*2.2%</f>
        <v>-978241.80790960498</v>
      </c>
      <c r="Q125" s="96">
        <f>-((B84+B85)*B87+(B84+B85)*B87+SUM(B127:Q127))/2*2.2%</f>
        <v>-922707.34463276877</v>
      </c>
      <c r="R125" s="96">
        <f>-((B84+B85)*B87+(B84+B85)*B87+SUM(B127:R127))/2*2.2%</f>
        <v>-867172.88135593245</v>
      </c>
      <c r="S125" s="96">
        <f>-((B84+B85)*B87+(B84+B85)*B87+SUM(B127:S127))/2*2.2%</f>
        <v>-811638.41807909624</v>
      </c>
      <c r="T125" s="96">
        <f>-((B84+B85)*B87+(B84+B85)*B87+SUM(B127:T127))/2*2.2%</f>
        <v>-811638.41807909624</v>
      </c>
      <c r="U125" s="96">
        <f>-((B84+B85)*B87+(B84+B85)*B87+SUM(B127:U127))/2*2.2%</f>
        <v>-811638.41807909624</v>
      </c>
      <c r="V125" s="96">
        <f>-((B84+B85)*B87+(B84+B85)*B87+SUM(B127:V127))/2*2.2%</f>
        <v>-811638.41807909624</v>
      </c>
      <c r="W125" s="96">
        <f>-((B84+B85)*B87+(B84+B85)*B87+SUM(B127:W127))/2*2.2%</f>
        <v>-811638.41807909624</v>
      </c>
      <c r="X125" s="96">
        <f>-((B84+B85)*B87+(B84+B85)*B87+SUM(B127:X127))/2*2.2%</f>
        <v>-811638.41807909624</v>
      </c>
      <c r="Y125" s="96">
        <f>-((B84+B85)*B87+(B84+B85)*B87+SUM(B127:Y127))/2*2.2%</f>
        <v>-811638.41807909624</v>
      </c>
      <c r="Z125" s="96">
        <f>-((B84+B85)*B87+(B84+B85)*B87+SUM(B127:Z127))/2*2.2%</f>
        <v>-811638.41807909624</v>
      </c>
      <c r="AA125" s="96">
        <f>-((B84+B85)*B87+(B84+B85)*B87+SUM(B127:AA127))/2*2.2%</f>
        <v>-811638.41807909624</v>
      </c>
    </row>
    <row r="126" spans="1:27">
      <c r="A126" s="98" t="s">
        <v>114</v>
      </c>
      <c r="B126" s="95"/>
      <c r="C126" s="95">
        <f t="shared" ref="C126:AA126" si="162">C118+C119</f>
        <v>8992281.4279972892</v>
      </c>
      <c r="D126" s="95">
        <f t="shared" si="162"/>
        <v>8931257.1102642007</v>
      </c>
      <c r="E126" s="95">
        <f t="shared" si="162"/>
        <v>8895939.1078615878</v>
      </c>
      <c r="F126" s="95">
        <f t="shared" si="162"/>
        <v>9512486.9506413974</v>
      </c>
      <c r="G126" s="95">
        <f t="shared" si="162"/>
        <v>9681499.897373572</v>
      </c>
      <c r="H126" s="95">
        <f t="shared" si="162"/>
        <v>10228054.643140495</v>
      </c>
      <c r="I126" s="95">
        <f t="shared" si="162"/>
        <v>10796214.281336982</v>
      </c>
      <c r="J126" s="95">
        <f t="shared" si="162"/>
        <v>11386929.427229933</v>
      </c>
      <c r="K126" s="95">
        <f t="shared" si="162"/>
        <v>12001192.523157995</v>
      </c>
      <c r="L126" s="95">
        <f t="shared" si="162"/>
        <v>12640039.678922709</v>
      </c>
      <c r="M126" s="95">
        <f t="shared" si="162"/>
        <v>13304552.593156891</v>
      </c>
      <c r="N126" s="95">
        <f t="shared" si="162"/>
        <v>13995860.559233196</v>
      </c>
      <c r="O126" s="95">
        <f t="shared" si="162"/>
        <v>14715142.559432676</v>
      </c>
      <c r="P126" s="95">
        <f t="shared" si="162"/>
        <v>15463629.451256754</v>
      </c>
      <c r="Q126" s="95">
        <f t="shared" si="162"/>
        <v>16242606.249936908</v>
      </c>
      <c r="R126" s="95">
        <f t="shared" si="162"/>
        <v>17053414.511374813</v>
      </c>
      <c r="S126" s="95">
        <f t="shared" si="162"/>
        <v>17897454.819931801</v>
      </c>
      <c r="T126" s="95">
        <f t="shared" si="162"/>
        <v>18720654.922404282</v>
      </c>
      <c r="U126" s="95">
        <f t="shared" si="162"/>
        <v>19580075.829385553</v>
      </c>
      <c r="V126" s="95">
        <f t="shared" si="162"/>
        <v>20477311.256274</v>
      </c>
      <c r="W126" s="95">
        <f t="shared" si="162"/>
        <v>21414025.041945536</v>
      </c>
      <c r="X126" s="95">
        <f t="shared" si="162"/>
        <v>22391954.23418662</v>
      </c>
      <c r="Y126" s="95">
        <f t="shared" si="162"/>
        <v>23412912.310886312</v>
      </c>
      <c r="Z126" s="95">
        <f t="shared" si="162"/>
        <v>24478792.542960793</v>
      </c>
      <c r="AA126" s="95">
        <f t="shared" si="162"/>
        <v>25591571.50524655</v>
      </c>
    </row>
    <row r="127" spans="1:27">
      <c r="A127" s="97" t="s">
        <v>278</v>
      </c>
      <c r="B127" s="96"/>
      <c r="C127" s="96">
        <f>-21.54/1.18*1000000/15</f>
        <v>-1216949.1525423729</v>
      </c>
      <c r="D127" s="96">
        <f>-(21.54/1.18*1000000/15+21.16/1.18*1000000/15)</f>
        <v>-2412429.3785310732</v>
      </c>
      <c r="E127" s="96">
        <f>-(21.54/1.18*1000000/15+21.16/1.18*1000000/15+21.16/1.18*1000000/15)</f>
        <v>-3607909.6045197737</v>
      </c>
      <c r="F127" s="96">
        <f>-(21.54/1.18*1000000/15+21.16/1.18*1000000/15+21.16/1.18*1000000/15+21.16/1.18*1000000/15)</f>
        <v>-4803389.8305084743</v>
      </c>
      <c r="G127" s="96">
        <f>IF(B84-ABS(SUM(B127:F127))&gt;0,-B84/B86,0)</f>
        <v>-5048587.57062147</v>
      </c>
      <c r="H127" s="96">
        <f>IF(B84-ABS(SUM(B127:G127))&gt;0,-B84/B86,0)</f>
        <v>-5048587.57062147</v>
      </c>
      <c r="I127" s="96">
        <f>IF(B84-ABS(SUM(B127:H127))&gt;0,-B84/B86,0)</f>
        <v>-5048587.57062147</v>
      </c>
      <c r="J127" s="96">
        <f>IF(B84-ABS(SUM(B127:I127))&gt;0,-B84/B86,0)</f>
        <v>-5048587.57062147</v>
      </c>
      <c r="K127" s="96">
        <f>IF(B84-ABS(SUM(B127:J127))&gt;0,-B84/B86,0)</f>
        <v>-5048587.57062147</v>
      </c>
      <c r="L127" s="96">
        <f>IF(B84-ABS(SUM(B127:K127))&gt;0,-B84/B86,0)</f>
        <v>-5048587.57062147</v>
      </c>
      <c r="M127" s="96">
        <f>IF(B84-ABS(SUM(B127:L127))&gt;0,-B84/B86,0)</f>
        <v>-5048587.57062147</v>
      </c>
      <c r="N127" s="96">
        <f>IF(B84-ABS(SUM(B127:M127))&gt;0,-B84/B86,0)</f>
        <v>-5048587.57062147</v>
      </c>
      <c r="O127" s="96">
        <f>IF(B84-ABS(SUM(B127:N127))&gt;0,-B84/B86,0)</f>
        <v>-5048587.57062147</v>
      </c>
      <c r="P127" s="96">
        <f>IF(B84-ABS(SUM(B127:O127))&gt;0,-B84/B86,0)</f>
        <v>-5048587.57062147</v>
      </c>
      <c r="Q127" s="96">
        <f>IF(B84-ABS(SUM(B127:P127))&gt;0,-B84/B86,0)</f>
        <v>-5048587.57062147</v>
      </c>
      <c r="R127" s="96">
        <f>IF(B84-ABS(SUM(B127:Q127))&gt;0,-B84/B86,0)</f>
        <v>-5048587.57062147</v>
      </c>
      <c r="S127" s="96">
        <f>IF(B84-ABS(SUM(B127:R127))&gt;0,-B84/B86,0)</f>
        <v>-5048587.57062147</v>
      </c>
      <c r="T127" s="96">
        <f>IF(B84-ABS(SUM(B127:S127))&gt;0,-B84/B86,0)</f>
        <v>0</v>
      </c>
      <c r="U127" s="96">
        <f>IF(B84-ABS(SUM(B127:T127))&gt;0,-B84/B86,0)</f>
        <v>0</v>
      </c>
      <c r="V127" s="96">
        <f>IF(B84-ABS(SUM(B127:U127))&gt;0,-B84/B86,0)</f>
        <v>0</v>
      </c>
      <c r="W127" s="96">
        <f>IF(B84-ABS(SUM(B127:V127))&gt;0,-B84/B86,0)</f>
        <v>0</v>
      </c>
      <c r="X127" s="96">
        <f>IF(B84-ABS(SUM(B127:W127))&gt;0,-B84/B86,0)</f>
        <v>0</v>
      </c>
      <c r="Y127" s="96">
        <f>IF(B84-ABS(SUM(B127:X127))&gt;0,-B84/B86,0)</f>
        <v>0</v>
      </c>
      <c r="Z127" s="96">
        <f>IF(B84-ABS(SUM(B127:Y127))&gt;0,-B84/B86,0)</f>
        <v>0</v>
      </c>
      <c r="AA127" s="96">
        <f>IF(B84-ABS(SUM(B127:Z127))&gt;0,-B84/B86,0)</f>
        <v>0</v>
      </c>
    </row>
    <row r="128" spans="1:27">
      <c r="A128" s="98" t="s">
        <v>34</v>
      </c>
      <c r="B128" s="95"/>
      <c r="C128" s="95">
        <f t="shared" ref="C128:AA128" si="163">C126+C127</f>
        <v>7775332.2754549161</v>
      </c>
      <c r="D128" s="95">
        <f t="shared" si="163"/>
        <v>6518827.7317331275</v>
      </c>
      <c r="E128" s="95">
        <f t="shared" si="163"/>
        <v>5288029.5033418145</v>
      </c>
      <c r="F128" s="95">
        <f t="shared" si="163"/>
        <v>4709097.1201329231</v>
      </c>
      <c r="G128" s="95">
        <f t="shared" si="163"/>
        <v>4632912.326752102</v>
      </c>
      <c r="H128" s="95">
        <f t="shared" si="163"/>
        <v>5179467.0725190248</v>
      </c>
      <c r="I128" s="95">
        <f t="shared" si="163"/>
        <v>5747626.7107155118</v>
      </c>
      <c r="J128" s="95">
        <f t="shared" si="163"/>
        <v>6338341.8566084635</v>
      </c>
      <c r="K128" s="95">
        <f t="shared" si="163"/>
        <v>6952604.9525365252</v>
      </c>
      <c r="L128" s="95">
        <f t="shared" si="163"/>
        <v>7591452.1083012391</v>
      </c>
      <c r="M128" s="95">
        <f t="shared" si="163"/>
        <v>8255965.022535421</v>
      </c>
      <c r="N128" s="95">
        <f t="shared" si="163"/>
        <v>8947272.9886117261</v>
      </c>
      <c r="O128" s="95">
        <f t="shared" si="163"/>
        <v>9666554.9888112061</v>
      </c>
      <c r="P128" s="95">
        <f t="shared" si="163"/>
        <v>10415041.880635284</v>
      </c>
      <c r="Q128" s="95">
        <f t="shared" si="163"/>
        <v>11194018.679315438</v>
      </c>
      <c r="R128" s="95">
        <f t="shared" si="163"/>
        <v>12004826.940753343</v>
      </c>
      <c r="S128" s="95">
        <f t="shared" si="163"/>
        <v>12848867.249310331</v>
      </c>
      <c r="T128" s="95">
        <f t="shared" si="163"/>
        <v>18720654.922404282</v>
      </c>
      <c r="U128" s="95">
        <f t="shared" si="163"/>
        <v>19580075.829385553</v>
      </c>
      <c r="V128" s="95">
        <f t="shared" si="163"/>
        <v>20477311.256274</v>
      </c>
      <c r="W128" s="95">
        <f t="shared" si="163"/>
        <v>21414025.041945536</v>
      </c>
      <c r="X128" s="95">
        <f t="shared" si="163"/>
        <v>22391954.23418662</v>
      </c>
      <c r="Y128" s="95">
        <f t="shared" si="163"/>
        <v>23412912.310886312</v>
      </c>
      <c r="Z128" s="95">
        <f t="shared" si="163"/>
        <v>24478792.542960793</v>
      </c>
      <c r="AA128" s="95">
        <f t="shared" si="163"/>
        <v>25591571.50524655</v>
      </c>
    </row>
    <row r="129" spans="1:27">
      <c r="A129" s="97" t="s">
        <v>62</v>
      </c>
      <c r="B129" s="96">
        <f t="shared" ref="B129:AA129" si="164">-B115</f>
        <v>0</v>
      </c>
      <c r="C129" s="96">
        <f t="shared" si="164"/>
        <v>-2016384.9152542374</v>
      </c>
      <c r="D129" s="96">
        <f t="shared" si="164"/>
        <v>-2729742.2033898304</v>
      </c>
      <c r="E129" s="96">
        <f t="shared" si="164"/>
        <v>-2729742.2033898304</v>
      </c>
      <c r="F129" s="96">
        <f t="shared" si="164"/>
        <v>-2967048.5593220335</v>
      </c>
      <c r="G129" s="96">
        <f t="shared" si="164"/>
        <v>-2755116.51937046</v>
      </c>
      <c r="H129" s="96">
        <f t="shared" si="164"/>
        <v>-2331252.4394673123</v>
      </c>
      <c r="I129" s="96">
        <f t="shared" si="164"/>
        <v>-1907388.3595641649</v>
      </c>
      <c r="J129" s="96">
        <f t="shared" si="164"/>
        <v>-1483524.2796610175</v>
      </c>
      <c r="K129" s="96">
        <f t="shared" si="164"/>
        <v>-1059660.1997578696</v>
      </c>
      <c r="L129" s="96">
        <f t="shared" si="164"/>
        <v>-635796.11985472206</v>
      </c>
      <c r="M129" s="96">
        <f t="shared" si="164"/>
        <v>-211932.03995157444</v>
      </c>
      <c r="N129" s="96">
        <f t="shared" si="164"/>
        <v>-6.3221901655197143E-10</v>
      </c>
      <c r="O129" s="96">
        <f t="shared" si="164"/>
        <v>-6.3221901655197143E-10</v>
      </c>
      <c r="P129" s="96">
        <f t="shared" si="164"/>
        <v>-6.3221901655197143E-10</v>
      </c>
      <c r="Q129" s="96">
        <f t="shared" si="164"/>
        <v>-6.3221901655197143E-10</v>
      </c>
      <c r="R129" s="96">
        <f t="shared" si="164"/>
        <v>-6.3221901655197143E-10</v>
      </c>
      <c r="S129" s="96">
        <f t="shared" si="164"/>
        <v>-6.3221901655197143E-10</v>
      </c>
      <c r="T129" s="96">
        <f t="shared" si="164"/>
        <v>-6.3221901655197143E-10</v>
      </c>
      <c r="U129" s="96">
        <f t="shared" si="164"/>
        <v>-6.3221901655197143E-10</v>
      </c>
      <c r="V129" s="96">
        <f t="shared" si="164"/>
        <v>-6.3221901655197143E-10</v>
      </c>
      <c r="W129" s="96">
        <f t="shared" si="164"/>
        <v>-6.3221901655197143E-10</v>
      </c>
      <c r="X129" s="96">
        <f t="shared" si="164"/>
        <v>-6.3221901655197143E-10</v>
      </c>
      <c r="Y129" s="96">
        <f t="shared" si="164"/>
        <v>-6.3221901655197143E-10</v>
      </c>
      <c r="Z129" s="96">
        <f t="shared" si="164"/>
        <v>-6.3221901655197143E-10</v>
      </c>
      <c r="AA129" s="96">
        <f t="shared" si="164"/>
        <v>-6.3221901655197143E-10</v>
      </c>
    </row>
    <row r="130" spans="1:27">
      <c r="A130" s="98" t="s">
        <v>35</v>
      </c>
      <c r="B130" s="95"/>
      <c r="C130" s="95">
        <f t="shared" ref="C130:AA130" si="165">C128+C129</f>
        <v>5758947.3602006789</v>
      </c>
      <c r="D130" s="95">
        <f t="shared" si="165"/>
        <v>3789085.5283432971</v>
      </c>
      <c r="E130" s="95">
        <f t="shared" si="165"/>
        <v>2558287.2999519841</v>
      </c>
      <c r="F130" s="95">
        <f t="shared" si="165"/>
        <v>1742048.5608108896</v>
      </c>
      <c r="G130" s="95">
        <f t="shared" si="165"/>
        <v>1877795.8073816421</v>
      </c>
      <c r="H130" s="95">
        <f t="shared" si="165"/>
        <v>2848214.6330517125</v>
      </c>
      <c r="I130" s="95">
        <f t="shared" si="165"/>
        <v>3840238.3511513472</v>
      </c>
      <c r="J130" s="95">
        <f t="shared" si="165"/>
        <v>4854817.576947446</v>
      </c>
      <c r="K130" s="95">
        <f t="shared" si="165"/>
        <v>5892944.7527786558</v>
      </c>
      <c r="L130" s="95">
        <f t="shared" si="165"/>
        <v>6955655.9884465169</v>
      </c>
      <c r="M130" s="95">
        <f t="shared" si="165"/>
        <v>8044032.9825838469</v>
      </c>
      <c r="N130" s="95">
        <f t="shared" si="165"/>
        <v>8947272.9886117261</v>
      </c>
      <c r="O130" s="95">
        <f t="shared" si="165"/>
        <v>9666554.9888112061</v>
      </c>
      <c r="P130" s="95">
        <f t="shared" si="165"/>
        <v>10415041.880635284</v>
      </c>
      <c r="Q130" s="95">
        <f t="shared" si="165"/>
        <v>11194018.679315438</v>
      </c>
      <c r="R130" s="95">
        <f t="shared" si="165"/>
        <v>12004826.940753343</v>
      </c>
      <c r="S130" s="95">
        <f t="shared" si="165"/>
        <v>12848867.249310331</v>
      </c>
      <c r="T130" s="95">
        <f t="shared" si="165"/>
        <v>18720654.922404282</v>
      </c>
      <c r="U130" s="95">
        <f t="shared" si="165"/>
        <v>19580075.829385553</v>
      </c>
      <c r="V130" s="95">
        <f t="shared" si="165"/>
        <v>20477311.256274</v>
      </c>
      <c r="W130" s="95">
        <f t="shared" si="165"/>
        <v>21414025.041945536</v>
      </c>
      <c r="X130" s="95">
        <f t="shared" si="165"/>
        <v>22391954.23418662</v>
      </c>
      <c r="Y130" s="95">
        <f t="shared" si="165"/>
        <v>23412912.310886312</v>
      </c>
      <c r="Z130" s="95">
        <f t="shared" si="165"/>
        <v>24478792.542960793</v>
      </c>
      <c r="AA130" s="95">
        <f t="shared" si="165"/>
        <v>25591571.50524655</v>
      </c>
    </row>
    <row r="131" spans="1:27">
      <c r="A131" s="97" t="s">
        <v>100</v>
      </c>
      <c r="B131" s="96"/>
      <c r="C131" s="96">
        <f>-C130*B95</f>
        <v>-1151789.4720401359</v>
      </c>
      <c r="D131" s="96">
        <f>-D130*B95</f>
        <v>-757817.10566865944</v>
      </c>
      <c r="E131" s="96">
        <f>-E130*B95</f>
        <v>-511657.45999039686</v>
      </c>
      <c r="F131" s="96">
        <f>-F130*B95</f>
        <v>-348409.71216217795</v>
      </c>
      <c r="G131" s="96">
        <f>-G130*B95</f>
        <v>-375559.16147632845</v>
      </c>
      <c r="H131" s="96">
        <f>-H130*B95</f>
        <v>-569642.92661034258</v>
      </c>
      <c r="I131" s="96">
        <f>-I130*B95</f>
        <v>-768047.67023026943</v>
      </c>
      <c r="J131" s="96">
        <f>-J130*B95</f>
        <v>-970963.51538948924</v>
      </c>
      <c r="K131" s="96">
        <f>-K130*B95</f>
        <v>-1178588.9505557313</v>
      </c>
      <c r="L131" s="96">
        <f>-L130*B95</f>
        <v>-1391131.1976893034</v>
      </c>
      <c r="M131" s="96">
        <f>-M130*B95</f>
        <v>-1608806.5965167694</v>
      </c>
      <c r="N131" s="96">
        <f>-N130*B95</f>
        <v>-1789454.5977223453</v>
      </c>
      <c r="O131" s="96">
        <f>-O130*B95</f>
        <v>-1933310.9977622414</v>
      </c>
      <c r="P131" s="96">
        <f>-P130*B95</f>
        <v>-2083008.3761270568</v>
      </c>
      <c r="Q131" s="96">
        <f>-Q130*B95</f>
        <v>-2238803.7358630877</v>
      </c>
      <c r="R131" s="96">
        <f>-R130*B95</f>
        <v>-2400965.3881506687</v>
      </c>
      <c r="S131" s="96">
        <f>-S130*B95</f>
        <v>-2569773.4498620667</v>
      </c>
      <c r="T131" s="96">
        <f>-T130*B95</f>
        <v>-3744130.9844808565</v>
      </c>
      <c r="U131" s="96">
        <f>-U130*B95</f>
        <v>-3916015.1658771108</v>
      </c>
      <c r="V131" s="96">
        <f>-V130*B95</f>
        <v>-4095462.2512548002</v>
      </c>
      <c r="W131" s="96">
        <f>-W130*B95</f>
        <v>-4282805.008389107</v>
      </c>
      <c r="X131" s="96">
        <f>-X130*B95</f>
        <v>-4478390.8468373241</v>
      </c>
      <c r="Y131" s="96">
        <f>-Y130*B95</f>
        <v>-4682582.4621772626</v>
      </c>
      <c r="Z131" s="96">
        <f>-Z130*B95</f>
        <v>-4895758.5085921586</v>
      </c>
      <c r="AA131" s="96">
        <f>-AA130*B95</f>
        <v>-5118314.3010493107</v>
      </c>
    </row>
    <row r="132" spans="1:27" ht="16.5" thickBot="1">
      <c r="A132" s="99" t="s">
        <v>36</v>
      </c>
      <c r="B132" s="100"/>
      <c r="C132" s="100">
        <f t="shared" ref="C132:AA132" si="166">C130+C131</f>
        <v>4607157.8881605435</v>
      </c>
      <c r="D132" s="100">
        <f t="shared" si="166"/>
        <v>3031268.4226746378</v>
      </c>
      <c r="E132" s="100">
        <f t="shared" si="166"/>
        <v>2046629.8399615872</v>
      </c>
      <c r="F132" s="100">
        <f t="shared" si="166"/>
        <v>1393638.8486487116</v>
      </c>
      <c r="G132" s="100">
        <f t="shared" si="166"/>
        <v>1502236.6459053135</v>
      </c>
      <c r="H132" s="100">
        <f t="shared" si="166"/>
        <v>2278571.7064413698</v>
      </c>
      <c r="I132" s="100">
        <f t="shared" si="166"/>
        <v>3072190.6809210777</v>
      </c>
      <c r="J132" s="100">
        <f t="shared" si="166"/>
        <v>3883854.061557957</v>
      </c>
      <c r="K132" s="100">
        <f t="shared" si="166"/>
        <v>4714355.8022229243</v>
      </c>
      <c r="L132" s="100">
        <f t="shared" si="166"/>
        <v>5564524.7907572137</v>
      </c>
      <c r="M132" s="100">
        <f t="shared" si="166"/>
        <v>6435226.3860670775</v>
      </c>
      <c r="N132" s="100">
        <f t="shared" si="166"/>
        <v>7157818.3908893811</v>
      </c>
      <c r="O132" s="100">
        <f t="shared" si="166"/>
        <v>7733243.9910489647</v>
      </c>
      <c r="P132" s="100">
        <f t="shared" si="166"/>
        <v>8332033.5045082271</v>
      </c>
      <c r="Q132" s="100">
        <f t="shared" si="166"/>
        <v>8955214.9434523508</v>
      </c>
      <c r="R132" s="100">
        <f t="shared" si="166"/>
        <v>9603861.5526026748</v>
      </c>
      <c r="S132" s="100">
        <f t="shared" si="166"/>
        <v>10279093.799448265</v>
      </c>
      <c r="T132" s="100">
        <f t="shared" si="166"/>
        <v>14976523.937923426</v>
      </c>
      <c r="U132" s="100">
        <f t="shared" si="166"/>
        <v>15664060.663508441</v>
      </c>
      <c r="V132" s="100">
        <f t="shared" si="166"/>
        <v>16381849.005019199</v>
      </c>
      <c r="W132" s="100">
        <f t="shared" si="166"/>
        <v>17131220.033556428</v>
      </c>
      <c r="X132" s="100">
        <f t="shared" si="166"/>
        <v>17913563.387349296</v>
      </c>
      <c r="Y132" s="100">
        <f t="shared" si="166"/>
        <v>18730329.848709051</v>
      </c>
      <c r="Z132" s="100">
        <f t="shared" si="166"/>
        <v>19583034.034368634</v>
      </c>
      <c r="AA132" s="100">
        <f t="shared" si="166"/>
        <v>20473257.204197239</v>
      </c>
    </row>
    <row r="133" spans="1:27" s="487" customFormat="1" ht="16.5" thickBot="1">
      <c r="A133" s="485"/>
      <c r="B133" s="486"/>
      <c r="C133" s="486">
        <v>1</v>
      </c>
      <c r="D133" s="486">
        <f t="shared" ref="D133" si="167">+C133+1</f>
        <v>2</v>
      </c>
      <c r="E133" s="486">
        <f t="shared" ref="E133" si="168">+D133+1</f>
        <v>3</v>
      </c>
      <c r="F133" s="486">
        <f t="shared" ref="F133" si="169">+E133+1</f>
        <v>4</v>
      </c>
      <c r="G133" s="486">
        <f t="shared" ref="G133" si="170">+F133+1</f>
        <v>5</v>
      </c>
      <c r="H133" s="486">
        <f t="shared" ref="H133" si="171">+G133+1</f>
        <v>6</v>
      </c>
      <c r="I133" s="486">
        <f t="shared" ref="I133" si="172">+H133+1</f>
        <v>7</v>
      </c>
      <c r="J133" s="486">
        <f t="shared" ref="J133" si="173">+I133+1</f>
        <v>8</v>
      </c>
      <c r="K133" s="486">
        <f t="shared" ref="K133" si="174">+J133+1</f>
        <v>9</v>
      </c>
      <c r="L133" s="486">
        <f t="shared" ref="L133" si="175">+K133+1</f>
        <v>10</v>
      </c>
      <c r="M133" s="486">
        <f t="shared" ref="M133" si="176">+L133+1</f>
        <v>11</v>
      </c>
      <c r="N133" s="486">
        <f t="shared" ref="N133" si="177">+M133+1</f>
        <v>12</v>
      </c>
      <c r="O133" s="486">
        <f>+N133+1</f>
        <v>13</v>
      </c>
      <c r="P133" s="486">
        <f>+O133+1</f>
        <v>14</v>
      </c>
      <c r="Q133" s="486">
        <f>+P133+1</f>
        <v>15</v>
      </c>
      <c r="R133" s="486">
        <f t="shared" ref="R133" si="178">+Q133+1</f>
        <v>16</v>
      </c>
      <c r="S133" s="486">
        <f t="shared" ref="S133" si="179">+R133+1</f>
        <v>17</v>
      </c>
      <c r="T133" s="486">
        <f t="shared" ref="T133" si="180">+S133+1</f>
        <v>18</v>
      </c>
      <c r="U133" s="486">
        <f t="shared" ref="U133" si="181">+T133+1</f>
        <v>19</v>
      </c>
      <c r="V133" s="486">
        <f t="shared" ref="V133" si="182">+U133+1</f>
        <v>20</v>
      </c>
      <c r="W133" s="486">
        <f t="shared" ref="W133" si="183">+V133+1</f>
        <v>21</v>
      </c>
      <c r="X133" s="486">
        <f t="shared" ref="X133" si="184">+W133+1</f>
        <v>22</v>
      </c>
      <c r="Y133" s="486">
        <f t="shared" ref="Y133" si="185">+X133+1</f>
        <v>23</v>
      </c>
      <c r="Z133" s="486">
        <f t="shared" ref="Z133" si="186">+Y133+1</f>
        <v>24</v>
      </c>
      <c r="AA133" s="486">
        <f t="shared" ref="AA133" si="187">+Z133+1</f>
        <v>25</v>
      </c>
    </row>
    <row r="134" spans="1:27" ht="47.25">
      <c r="A134" s="88" t="s">
        <v>37</v>
      </c>
      <c r="B134" s="78" t="str">
        <f>B117</f>
        <v>год окончания 
строительства объекта 2016</v>
      </c>
      <c r="C134" s="79">
        <f>C117</f>
        <v>2017</v>
      </c>
      <c r="D134" s="80">
        <f t="shared" ref="D134" si="188">C134+1</f>
        <v>2018</v>
      </c>
      <c r="E134" s="80">
        <f t="shared" ref="E134" si="189">D134+1</f>
        <v>2019</v>
      </c>
      <c r="F134" s="80">
        <f t="shared" ref="F134" si="190">E134+1</f>
        <v>2020</v>
      </c>
      <c r="G134" s="80">
        <f t="shared" ref="G134" si="191">F134+1</f>
        <v>2021</v>
      </c>
      <c r="H134" s="80">
        <f t="shared" ref="H134" si="192">G134+1</f>
        <v>2022</v>
      </c>
      <c r="I134" s="80">
        <f t="shared" ref="I134" si="193">H134+1</f>
        <v>2023</v>
      </c>
      <c r="J134" s="80">
        <f t="shared" ref="J134" si="194">I134+1</f>
        <v>2024</v>
      </c>
      <c r="K134" s="80">
        <f t="shared" ref="K134" si="195">J134+1</f>
        <v>2025</v>
      </c>
      <c r="L134" s="80">
        <f t="shared" ref="L134" si="196">K134+1</f>
        <v>2026</v>
      </c>
      <c r="M134" s="80">
        <f t="shared" ref="M134" si="197">L134+1</f>
        <v>2027</v>
      </c>
      <c r="N134" s="80">
        <f t="shared" ref="N134" si="198">M134+1</f>
        <v>2028</v>
      </c>
      <c r="O134" s="80">
        <f t="shared" ref="O134" si="199">N134+1</f>
        <v>2029</v>
      </c>
      <c r="P134" s="80">
        <f t="shared" ref="P134" si="200">O134+1</f>
        <v>2030</v>
      </c>
      <c r="Q134" s="80">
        <f t="shared" ref="Q134" si="201">P134+1</f>
        <v>2031</v>
      </c>
      <c r="R134" s="80">
        <f t="shared" ref="R134" si="202">Q134+1</f>
        <v>2032</v>
      </c>
      <c r="S134" s="80">
        <f t="shared" ref="S134" si="203">R134+1</f>
        <v>2033</v>
      </c>
      <c r="T134" s="80">
        <f t="shared" ref="T134" si="204">S134+1</f>
        <v>2034</v>
      </c>
      <c r="U134" s="80">
        <f t="shared" ref="U134" si="205">T134+1</f>
        <v>2035</v>
      </c>
      <c r="V134" s="80">
        <f t="shared" ref="V134" si="206">U134+1</f>
        <v>2036</v>
      </c>
      <c r="W134" s="80">
        <f t="shared" ref="W134" si="207">V134+1</f>
        <v>2037</v>
      </c>
      <c r="X134" s="80">
        <f t="shared" ref="X134" si="208">W134+1</f>
        <v>2038</v>
      </c>
      <c r="Y134" s="80">
        <f t="shared" ref="Y134" si="209">X134+1</f>
        <v>2039</v>
      </c>
      <c r="Z134" s="80">
        <f t="shared" ref="Z134" si="210">Y134+1</f>
        <v>2040</v>
      </c>
      <c r="AA134" s="80">
        <f t="shared" ref="AA134" si="211">Z134+1</f>
        <v>2041</v>
      </c>
    </row>
    <row r="135" spans="1:27">
      <c r="A135" s="94" t="s">
        <v>34</v>
      </c>
      <c r="B135" s="95">
        <f t="shared" ref="B135" si="212">B128</f>
        <v>0</v>
      </c>
      <c r="C135" s="95">
        <f>C128</f>
        <v>7775332.2754549161</v>
      </c>
      <c r="D135" s="95">
        <f t="shared" ref="D135:AA135" si="213">D128</f>
        <v>6518827.7317331275</v>
      </c>
      <c r="E135" s="95">
        <f t="shared" si="213"/>
        <v>5288029.5033418145</v>
      </c>
      <c r="F135" s="95">
        <f t="shared" si="213"/>
        <v>4709097.1201329231</v>
      </c>
      <c r="G135" s="95">
        <f t="shared" si="213"/>
        <v>4632912.326752102</v>
      </c>
      <c r="H135" s="95">
        <f t="shared" si="213"/>
        <v>5179467.0725190248</v>
      </c>
      <c r="I135" s="95">
        <f t="shared" si="213"/>
        <v>5747626.7107155118</v>
      </c>
      <c r="J135" s="95">
        <f t="shared" si="213"/>
        <v>6338341.8566084635</v>
      </c>
      <c r="K135" s="95">
        <f t="shared" si="213"/>
        <v>6952604.9525365252</v>
      </c>
      <c r="L135" s="95">
        <f t="shared" si="213"/>
        <v>7591452.1083012391</v>
      </c>
      <c r="M135" s="95">
        <f t="shared" si="213"/>
        <v>8255965.022535421</v>
      </c>
      <c r="N135" s="95">
        <f t="shared" si="213"/>
        <v>8947272.9886117261</v>
      </c>
      <c r="O135" s="95">
        <f t="shared" si="213"/>
        <v>9666554.9888112061</v>
      </c>
      <c r="P135" s="95">
        <f t="shared" si="213"/>
        <v>10415041.880635284</v>
      </c>
      <c r="Q135" s="95">
        <f t="shared" si="213"/>
        <v>11194018.679315438</v>
      </c>
      <c r="R135" s="95">
        <f t="shared" si="213"/>
        <v>12004826.940753343</v>
      </c>
      <c r="S135" s="95">
        <f t="shared" si="213"/>
        <v>12848867.249310331</v>
      </c>
      <c r="T135" s="95">
        <f t="shared" si="213"/>
        <v>18720654.922404282</v>
      </c>
      <c r="U135" s="95">
        <f t="shared" si="213"/>
        <v>19580075.829385553</v>
      </c>
      <c r="V135" s="95">
        <f t="shared" si="213"/>
        <v>20477311.256274</v>
      </c>
      <c r="W135" s="95">
        <f t="shared" si="213"/>
        <v>21414025.041945536</v>
      </c>
      <c r="X135" s="95">
        <f t="shared" si="213"/>
        <v>22391954.23418662</v>
      </c>
      <c r="Y135" s="95">
        <f t="shared" si="213"/>
        <v>23412912.310886312</v>
      </c>
      <c r="Z135" s="95">
        <f t="shared" si="213"/>
        <v>24478792.542960793</v>
      </c>
      <c r="AA135" s="95">
        <f t="shared" si="213"/>
        <v>25591571.50524655</v>
      </c>
    </row>
    <row r="136" spans="1:27">
      <c r="A136" s="97" t="s">
        <v>278</v>
      </c>
      <c r="B136" s="96">
        <f t="shared" ref="B136" si="214">-B127</f>
        <v>0</v>
      </c>
      <c r="C136" s="96">
        <f>-C127</f>
        <v>1216949.1525423729</v>
      </c>
      <c r="D136" s="96">
        <f t="shared" ref="D136:AA136" si="215">-D127</f>
        <v>2412429.3785310732</v>
      </c>
      <c r="E136" s="96">
        <f t="shared" si="215"/>
        <v>3607909.6045197737</v>
      </c>
      <c r="F136" s="96">
        <f t="shared" si="215"/>
        <v>4803389.8305084743</v>
      </c>
      <c r="G136" s="96">
        <f t="shared" si="215"/>
        <v>5048587.57062147</v>
      </c>
      <c r="H136" s="96">
        <f t="shared" si="215"/>
        <v>5048587.57062147</v>
      </c>
      <c r="I136" s="96">
        <f t="shared" si="215"/>
        <v>5048587.57062147</v>
      </c>
      <c r="J136" s="96">
        <f t="shared" si="215"/>
        <v>5048587.57062147</v>
      </c>
      <c r="K136" s="96">
        <f t="shared" si="215"/>
        <v>5048587.57062147</v>
      </c>
      <c r="L136" s="96">
        <f t="shared" si="215"/>
        <v>5048587.57062147</v>
      </c>
      <c r="M136" s="96">
        <f t="shared" si="215"/>
        <v>5048587.57062147</v>
      </c>
      <c r="N136" s="96">
        <f t="shared" si="215"/>
        <v>5048587.57062147</v>
      </c>
      <c r="O136" s="96">
        <f t="shared" si="215"/>
        <v>5048587.57062147</v>
      </c>
      <c r="P136" s="96">
        <f t="shared" si="215"/>
        <v>5048587.57062147</v>
      </c>
      <c r="Q136" s="96">
        <f t="shared" si="215"/>
        <v>5048587.57062147</v>
      </c>
      <c r="R136" s="96">
        <f t="shared" si="215"/>
        <v>5048587.57062147</v>
      </c>
      <c r="S136" s="96">
        <f t="shared" si="215"/>
        <v>5048587.57062147</v>
      </c>
      <c r="T136" s="96">
        <f t="shared" si="215"/>
        <v>0</v>
      </c>
      <c r="U136" s="96">
        <f t="shared" si="215"/>
        <v>0</v>
      </c>
      <c r="V136" s="96">
        <f t="shared" si="215"/>
        <v>0</v>
      </c>
      <c r="W136" s="96">
        <f t="shared" si="215"/>
        <v>0</v>
      </c>
      <c r="X136" s="96">
        <f t="shared" si="215"/>
        <v>0</v>
      </c>
      <c r="Y136" s="96">
        <f t="shared" si="215"/>
        <v>0</v>
      </c>
      <c r="Z136" s="96">
        <f t="shared" si="215"/>
        <v>0</v>
      </c>
      <c r="AA136" s="96">
        <f t="shared" si="215"/>
        <v>0</v>
      </c>
    </row>
    <row r="137" spans="1:27">
      <c r="A137" s="97" t="s">
        <v>62</v>
      </c>
      <c r="B137" s="96">
        <f t="shared" ref="B137:AA137" si="216">B129</f>
        <v>0</v>
      </c>
      <c r="C137" s="96">
        <f t="shared" si="216"/>
        <v>-2016384.9152542374</v>
      </c>
      <c r="D137" s="96">
        <f t="shared" si="216"/>
        <v>-2729742.2033898304</v>
      </c>
      <c r="E137" s="96">
        <f t="shared" si="216"/>
        <v>-2729742.2033898304</v>
      </c>
      <c r="F137" s="96">
        <f t="shared" si="216"/>
        <v>-2967048.5593220335</v>
      </c>
      <c r="G137" s="96">
        <f t="shared" si="216"/>
        <v>-2755116.51937046</v>
      </c>
      <c r="H137" s="96">
        <f t="shared" si="216"/>
        <v>-2331252.4394673123</v>
      </c>
      <c r="I137" s="96">
        <f t="shared" si="216"/>
        <v>-1907388.3595641649</v>
      </c>
      <c r="J137" s="96">
        <f t="shared" si="216"/>
        <v>-1483524.2796610175</v>
      </c>
      <c r="K137" s="96">
        <f t="shared" si="216"/>
        <v>-1059660.1997578696</v>
      </c>
      <c r="L137" s="96">
        <f t="shared" si="216"/>
        <v>-635796.11985472206</v>
      </c>
      <c r="M137" s="96">
        <f t="shared" si="216"/>
        <v>-211932.03995157444</v>
      </c>
      <c r="N137" s="96">
        <f t="shared" si="216"/>
        <v>-6.3221901655197143E-10</v>
      </c>
      <c r="O137" s="96">
        <f t="shared" si="216"/>
        <v>-6.3221901655197143E-10</v>
      </c>
      <c r="P137" s="96">
        <f t="shared" si="216"/>
        <v>-6.3221901655197143E-10</v>
      </c>
      <c r="Q137" s="96">
        <f t="shared" si="216"/>
        <v>-6.3221901655197143E-10</v>
      </c>
      <c r="R137" s="96">
        <f t="shared" si="216"/>
        <v>-6.3221901655197143E-10</v>
      </c>
      <c r="S137" s="96">
        <f t="shared" si="216"/>
        <v>-6.3221901655197143E-10</v>
      </c>
      <c r="T137" s="96">
        <f t="shared" si="216"/>
        <v>-6.3221901655197143E-10</v>
      </c>
      <c r="U137" s="96">
        <f t="shared" si="216"/>
        <v>-6.3221901655197143E-10</v>
      </c>
      <c r="V137" s="96">
        <f t="shared" si="216"/>
        <v>-6.3221901655197143E-10</v>
      </c>
      <c r="W137" s="96">
        <f t="shared" si="216"/>
        <v>-6.3221901655197143E-10</v>
      </c>
      <c r="X137" s="96">
        <f t="shared" si="216"/>
        <v>-6.3221901655197143E-10</v>
      </c>
      <c r="Y137" s="96">
        <f t="shared" si="216"/>
        <v>-6.3221901655197143E-10</v>
      </c>
      <c r="Z137" s="96">
        <f t="shared" si="216"/>
        <v>-6.3221901655197143E-10</v>
      </c>
      <c r="AA137" s="96">
        <f t="shared" si="216"/>
        <v>-6.3221901655197143E-10</v>
      </c>
    </row>
    <row r="138" spans="1:27">
      <c r="A138" s="97" t="s">
        <v>100</v>
      </c>
      <c r="B138" s="96">
        <f>IF(SUM(B131:B131)+SUM(A138:A138)&gt;0,0,SUM(B131:B131)-SUM(A138:A138))</f>
        <v>0</v>
      </c>
      <c r="C138" s="96">
        <f>IF(SUM(B131:C131)+SUM(A138:B138)&gt;0,0,SUM(B131:C131)-SUM(A138:B138))</f>
        <v>-1151789.4720401359</v>
      </c>
      <c r="D138" s="96">
        <f>IF(SUM(B131:D131)+SUM(A138:C138)&gt;0,0,SUM(B131:D131)-SUM(A138:C138))</f>
        <v>-757817.10566865932</v>
      </c>
      <c r="E138" s="96">
        <f>IF(SUM(B131:E131)+SUM(A138:D138)&gt;0,0,SUM(B131:E131)-SUM(A138:D138))</f>
        <v>-511657.45999039663</v>
      </c>
      <c r="F138" s="96">
        <f>IF(SUM(B131:F131)+SUM(A138:E138)&gt;0,0,SUM(B131:F131)-SUM(A138:E138))</f>
        <v>-348409.71216217801</v>
      </c>
      <c r="G138" s="96">
        <f>IF(SUM(B131:G131)+SUM(A138:F138)&gt;0,0,SUM(B131:G131)-SUM(A138:F138))</f>
        <v>-375559.1614763285</v>
      </c>
      <c r="H138" s="96">
        <f>IF(SUM(B131:H131)+SUM(A138:G138)&gt;0,0,SUM(B131:H131)-SUM(A138:G138))</f>
        <v>-569642.92661034269</v>
      </c>
      <c r="I138" s="96">
        <f>IF(SUM(B131:I131)+SUM(A138:H138)&gt;0,0,SUM(B131:I131)-SUM(A138:H138))</f>
        <v>-768047.67023026943</v>
      </c>
      <c r="J138" s="96">
        <f>IF(SUM(B131:J131)+SUM(A138:I138)&gt;0,0,SUM(B131:J131)-SUM(A138:I138))</f>
        <v>-970963.51538948901</v>
      </c>
      <c r="K138" s="96">
        <f>IF(SUM(B131:K131)+SUM(A138:J138)&gt;0,0,SUM(B131:K131)-SUM(A138:J138))</f>
        <v>-1178588.9505557315</v>
      </c>
      <c r="L138" s="96">
        <f>IF(SUM(B131:L131)+SUM(A138:K138)&gt;0,0,SUM(B131:L131)-SUM(A138:K138))</f>
        <v>-1391131.1976893032</v>
      </c>
      <c r="M138" s="96">
        <f>IF(SUM(B131:M131)+SUM(A138:L138)&gt;0,0,SUM(B131:M131)-SUM(A138:L138))</f>
        <v>-1608806.5965167694</v>
      </c>
      <c r="N138" s="96">
        <f>IF(SUM(B131:N131)+SUM(A138:M138)&gt;0,0,SUM(B131:N131)-SUM(A138:M138))</f>
        <v>-1789454.597722346</v>
      </c>
      <c r="O138" s="96">
        <f>IF(SUM(B131:O131)+SUM(A138:N138)&gt;0,0,SUM(B131:O131)-SUM(A138:N138))</f>
        <v>-1933310.9977622405</v>
      </c>
      <c r="P138" s="96">
        <f>IF(SUM(B131:P131)+SUM(A138:O138)&gt;0,0,SUM(B131:P131)-SUM(A138:O138))</f>
        <v>-2083008.3761270568</v>
      </c>
      <c r="Q138" s="96">
        <f>IF(SUM(B131:Q131)+SUM(A138:P138)&gt;0,0,SUM(B131:Q131)-SUM(A138:P138))</f>
        <v>-2238803.7358630896</v>
      </c>
      <c r="R138" s="96">
        <f>IF(SUM(B131:R131)+SUM(A138:Q138)&gt;0,0,SUM(B131:R131)-SUM(A138:Q138))</f>
        <v>-2400965.3881506696</v>
      </c>
      <c r="S138" s="96">
        <f>IF(SUM(B131:S131)+SUM(A138:R138)&gt;0,0,SUM(B131:S131)-SUM(A138:R138))</f>
        <v>-2569773.4498620667</v>
      </c>
      <c r="T138" s="96">
        <f>IF(SUM(B131:T131)+SUM(A138:S138)&gt;0,0,SUM(B131:T131)-SUM(A138:S138))</f>
        <v>-3744130.9844808578</v>
      </c>
      <c r="U138" s="96">
        <f>IF(SUM(B131:U131)+SUM(A138:T138)&gt;0,0,SUM(B131:U131)-SUM(A138:T138))</f>
        <v>-3916015.1658771113</v>
      </c>
      <c r="V138" s="96">
        <f>IF(SUM(B131:V131)+SUM(A138:U138)&gt;0,0,SUM(B131:V131)-SUM(A138:U138))</f>
        <v>-4095462.2512548007</v>
      </c>
      <c r="W138" s="96">
        <f>IF(SUM(B131:W131)+SUM(A138:V138)&gt;0,0,SUM(B131:W131)-SUM(A138:V138))</f>
        <v>-4282805.0083891079</v>
      </c>
      <c r="X138" s="96">
        <f>IF(SUM(B131:X131)+SUM(A138:W138)&gt;0,0,SUM(B131:X131)-SUM(A138:W138))</f>
        <v>-4478390.8468373269</v>
      </c>
      <c r="Y138" s="96">
        <f>IF(SUM(B131:Y131)+SUM(A138:X138)&gt;0,0,SUM(B131:Y131)-SUM(A138:X138))</f>
        <v>-4682582.4621772617</v>
      </c>
      <c r="Z138" s="96">
        <f>IF(SUM(B131:Z131)+SUM(A138:Y138)&gt;0,0,SUM(B131:Z131)-SUM(A138:Y138))</f>
        <v>-4895758.5085921586</v>
      </c>
      <c r="AA138" s="96">
        <f>IF(SUM(B131:AA131)+SUM(A138:Z138)&gt;0,0,SUM(B131:AA131)-SUM(A138:Z138))</f>
        <v>-5118314.3010493144</v>
      </c>
    </row>
    <row r="139" spans="1:27">
      <c r="A139" s="97" t="s">
        <v>38</v>
      </c>
      <c r="B139" s="101">
        <f>IF(((SUM(B118:B118)+SUM(B120:B124))+SUM(B141:B141))&lt;0,((SUM(B118:B118)+SUM(B120:B124))+SUM(B141:B141))*0.18-SUM(A139:A139),IF(SUM(A139:B139)&lt;0,0-SUM(A139:B139),0))</f>
        <v>-13631186.440677967</v>
      </c>
      <c r="C139" s="101">
        <f>IF(((SUM(B118:C118)+SUM(B120:C124))+SUM(B141:C141))&lt;0,((SUM(B118:C118)+SUM(B120:C124))+SUM(B141:C141))*0.18-SUM(A139:B139),IF(SUM(B139:B139)&lt;0,0-SUM(B139:B139),0))</f>
        <v>1690897.4367005285</v>
      </c>
      <c r="D139" s="101">
        <f>IF(((SUM(B118:D118)+SUM(B120:D124))+SUM(B141:D141))&lt;0,((SUM(B118:D118)+SUM(B120:D124))+SUM(B141:D141))*0.18-SUM(A139:C139),IF(SUM(B139:C139)&lt;0,0-SUM(B139:C139),0))</f>
        <v>1765296.9239153527</v>
      </c>
      <c r="E139" s="101">
        <f>IF(((SUM(B118:E118)+SUM(B120:E124))+SUM(B141:E141))&lt;0,((SUM(B118:E118)+SUM(B120:E124))+SUM(B141:E141))*0.18-SUM(A139:D139),IF(SUM(B139:D139)&lt;0,0-SUM(B139:D139),0))</f>
        <v>1842969.988567627</v>
      </c>
      <c r="F139" s="101">
        <f>IF(((SUM(B118:F118)+SUM(B120:F124))+SUM(B141:F141))&lt;0,((SUM(B118:F118)+SUM(B120:F124))+SUM(B141:F141))*0.18-SUM(A139:E139),IF(SUM(B139:E139)&lt;0,0-SUM(B139:E139),0))</f>
        <v>1924060.6680646045</v>
      </c>
      <c r="G139" s="101">
        <f>IF(((SUM(B118:G118)+SUM(B120:G124))+SUM(B141:G141))&lt;0,((SUM(B118:G118)+SUM(B120:G124))+SUM(B141:G141))*0.18-SUM(A139:F139),IF(SUM(B139:F139)&lt;0,0-SUM(B139:F139),0))</f>
        <v>2008719.3374594469</v>
      </c>
      <c r="H139" s="101">
        <f>IF(((SUM(B118:H118)+SUM(B120:H124))+SUM(B141:H141))&lt;0,((SUM(B118:H118)+SUM(B120:H124))+SUM(B141:H141))*0.18-SUM(A139:G139),IF(SUM(B139:G139)&lt;0,0-SUM(B139:G139),0))</f>
        <v>2097102.9883076618</v>
      </c>
      <c r="I139" s="101">
        <f>IF(((SUM(B118:I118)+SUM(B120:I124))+SUM(B141:I141))&lt;0,((SUM(B118:I118)+SUM(B120:I124))+SUM(B141:I141))*0.18-SUM(A139:H139),IF(SUM(B139:H139)&lt;0,0-SUM(B139:H139),0))</f>
        <v>2189375.5197932008</v>
      </c>
      <c r="J139" s="101">
        <f>IF(((SUM(B118:J118)+SUM(B120:J124))+SUM(B141:J141))&lt;0,((SUM(B118:J118)+SUM(B120:J124))+SUM(B141:J141))*0.18-SUM(A139:I139),IF(SUM(B139:I139)&lt;0,0-SUM(B139:I139),0))</f>
        <v>112763.57786954474</v>
      </c>
      <c r="K139" s="101">
        <f>IF(((SUM(B118:K118)+SUM(B120:K124))+SUM(B141:K141))&lt;0,((SUM(B118:K118)+SUM(B120:K124))+SUM(B141:K141))*0.18-SUM(A139:J139),IF(SUM(B139:J139)&lt;0,0-SUM(B139:J139),0))</f>
        <v>0</v>
      </c>
      <c r="L139" s="101">
        <f>IF(((SUM(B118:L118)+SUM(B120:L124))+SUM(B141:L141))&lt;0,((SUM(B118:L118)+SUM(B120:L124))+SUM(B141:L141))*0.18-SUM(A139:K139),IF(SUM(B139:K139)&lt;0,0-SUM(B139:K139),0))</f>
        <v>0</v>
      </c>
      <c r="M139" s="101">
        <f>IF(((SUM(B118:M118)+SUM(B120:M124))+SUM(B141:M141))&lt;0,((SUM(B118:M118)+SUM(B120:M124))+SUM(B141:M141))*0.18-SUM(A139:L139),IF(SUM(B139:L139)&lt;0,0-SUM(B139:L139),0))</f>
        <v>0</v>
      </c>
      <c r="N139" s="101">
        <f>IF(((SUM(B118:N118)+SUM(B120:N124))+SUM(B141:N141))&lt;0,((SUM(B118:N118)+SUM(B120:N124))+SUM(B141:N141))*0.18-SUM(A139:M139),IF(SUM(B139:M139)&lt;0,0-SUM(B139:M139),0))</f>
        <v>0</v>
      </c>
      <c r="O139" s="101">
        <f>IF(((SUM(B118:O118)+SUM(B120:O124))+SUM(B141:O141))&lt;0,((SUM(B118:O118)+SUM(B120:O124))+SUM(B141:O141))*0.18-SUM(A139:N139),IF(SUM(B139:N139)&lt;0,0-SUM(B139:N139),0))</f>
        <v>0</v>
      </c>
      <c r="P139" s="101">
        <f>IF(((SUM(B118:P118)+SUM(B120:P124))+SUM(B141:P141))&lt;0,((SUM(B118:P118)+SUM(B120:P124))+SUM(B141:P141))*0.18-SUM(A139:O139),IF(SUM(B139:O139)&lt;0,0-SUM(B139:O139),0))</f>
        <v>0</v>
      </c>
      <c r="Q139" s="101">
        <f>IF(((SUM(B118:Q118)+SUM(B120:Q124))+SUM(B141:Q141))&lt;0,((SUM(B118:Q118)+SUM(B120:Q124))+SUM(B141:Q141))*0.18-SUM(A139:P139),IF(SUM(B139:P139)&lt;0,0-SUM(B139:P139),0))</f>
        <v>0</v>
      </c>
      <c r="R139" s="101">
        <f>IF(((SUM(B118:R118)+SUM(B120:R124))+SUM(B141:R141))&lt;0,((SUM(B118:R118)+SUM(B120:R124))+SUM(B141:R141))*0.18-SUM(A139:Q139),IF(SUM(B139:Q139)&lt;0,0-SUM(B139:Q139),0))</f>
        <v>0</v>
      </c>
      <c r="S139" s="101">
        <f>IF(((SUM(B118:S118)+SUM(B120:S124))+SUM(B141:S141))&lt;0,((SUM(B118:S118)+SUM(B120:S124))+SUM(B141:S141))*0.18-SUM(A139:R139),IF(SUM(B139:R139)&lt;0,0-SUM(B139:R139),0))</f>
        <v>0</v>
      </c>
      <c r="T139" s="101">
        <f>IF(((SUM(B118:T118)+SUM(B120:T124))+SUM(B141:T141))&lt;0,((SUM(B118:T118)+SUM(B120:T124))+SUM(B141:T141))*0.18-SUM(A139:S139),IF(SUM(B139:S139)&lt;0,0-SUM(B139:S139),0))</f>
        <v>0</v>
      </c>
      <c r="U139" s="101">
        <f>IF(((SUM(B118:U118)+SUM(B120:U124))+SUM(B141:U141))&lt;0,((SUM(B118:U118)+SUM(B120:U124))+SUM(B141:U141))*0.18-SUM(A139:T139),IF(SUM(B139:T139)&lt;0,0-SUM(B139:T139),0))</f>
        <v>0</v>
      </c>
      <c r="V139" s="101">
        <f>IF(((SUM(B118:V118)+SUM(B120:V124))+SUM(B141:V141))&lt;0,((SUM(B118:V118)+SUM(B120:V124))+SUM(B141:V141))*0.18-SUM(A139:U139),IF(SUM(B139:U139)&lt;0,0-SUM(B139:U139),0))</f>
        <v>0</v>
      </c>
      <c r="W139" s="101">
        <f>IF(((SUM(B118:W118)+SUM(B120:W124))+SUM(B141:W141))&lt;0,((SUM(B118:W118)+SUM(B120:W124))+SUM(B141:W141))*0.18-SUM(A139:V139),IF(SUM(B139:V139)&lt;0,0-SUM(B139:V139),0))</f>
        <v>0</v>
      </c>
      <c r="X139" s="101">
        <f>IF(((SUM(B118:X118)+SUM(B120:X124))+SUM(B141:X141))&lt;0,((SUM(B118:X118)+SUM(B120:X124))+SUM(B141:X141))*0.18-SUM(A139:W139),IF(SUM(B139:W139)&lt;0,0-SUM(B139:W139),0))</f>
        <v>0</v>
      </c>
      <c r="Y139" s="101">
        <f>IF(((SUM(B118:Y118)+SUM(B120:Y124))+SUM(B141:Y141))&lt;0,((SUM(B118:Y118)+SUM(B120:Y124))+SUM(B141:Y141))*0.18-SUM(A139:X139),IF(SUM(B139:X139)&lt;0,0-SUM(B139:X139),0))</f>
        <v>0</v>
      </c>
      <c r="Z139" s="101">
        <f>IF(((SUM(B118:Z118)+SUM(B120:Z124))+SUM(B141:Z141))&lt;0,((SUM(B118:Z118)+SUM(B120:Z124))+SUM(B141:Z141))*0.18-SUM(A139:Y139),IF(SUM(B139:Y139)&lt;0,0-SUM(B139:Y139),0))</f>
        <v>0</v>
      </c>
      <c r="AA139" s="101">
        <f>IF(((SUM(B118:AA118)+SUM(B120:AA124))+SUM(B141:AA141))&lt;0,((SUM(B118:AA118)+SUM(B120:AA124))+SUM(B141:AA141))*0.18-SUM(A139:Z139),IF(SUM(B139:Z139)&lt;0,0-SUM(B139:Z139),0))</f>
        <v>0</v>
      </c>
    </row>
    <row r="140" spans="1:27">
      <c r="A140" s="97" t="s">
        <v>39</v>
      </c>
      <c r="B140" s="96">
        <f>-B118*(B98)</f>
        <v>0</v>
      </c>
      <c r="C140" s="96">
        <f>-(C118-B118)*B98</f>
        <v>-976901.69491525448</v>
      </c>
      <c r="D140" s="96">
        <f>-(D118-C118)*B98</f>
        <v>-42983.674576271325</v>
      </c>
      <c r="E140" s="96">
        <f>-(E118-D118)*B98</f>
        <v>-44874.956257627164</v>
      </c>
      <c r="F140" s="96">
        <f>-(F118-E118)*B98</f>
        <v>-46849.454332962821</v>
      </c>
      <c r="G140" s="96">
        <f>-(G118-F118)*B98</f>
        <v>-48910.830323613067</v>
      </c>
      <c r="H140" s="96">
        <f>-(H118-G118)*B98</f>
        <v>-51062.906857852082</v>
      </c>
      <c r="I140" s="96">
        <f>-(I118-H118)*B98</f>
        <v>-53309.674759597518</v>
      </c>
      <c r="J140" s="96">
        <f>-(J118-I118)*B98</f>
        <v>-55655.300449019858</v>
      </c>
      <c r="K140" s="96">
        <f>-(K118-J118)*B98</f>
        <v>-58104.133668776791</v>
      </c>
      <c r="L140" s="96">
        <f>-(L118-K118)*B98</f>
        <v>-60660.715550202876</v>
      </c>
      <c r="M140" s="96">
        <f>-(M118-L118)*B98</f>
        <v>-63329.787034411915</v>
      </c>
      <c r="N140" s="96">
        <f>-(N118-M118)*B98</f>
        <v>-66116.297663925958</v>
      </c>
      <c r="O140" s="96">
        <f>-(O118-N118)*B98</f>
        <v>-69025.414761138716</v>
      </c>
      <c r="P140" s="96">
        <f>-(P118-O118)*B98</f>
        <v>-72062.533010628817</v>
      </c>
      <c r="Q140" s="96">
        <f>-(Q118-P118)*B98</f>
        <v>-75233.28446309641</v>
      </c>
      <c r="R140" s="96">
        <f>-(R118-Q118)*B98</f>
        <v>-78543.548979472747</v>
      </c>
      <c r="S140" s="96">
        <f>-(S118-R118)*B98</f>
        <v>-81999.465134569633</v>
      </c>
      <c r="T140" s="96">
        <f>-(T118-S118)*B98</f>
        <v>-85607.44160049074</v>
      </c>
      <c r="U140" s="96">
        <f>-(U118-T118)*B98</f>
        <v>-89374.16903091222</v>
      </c>
      <c r="V140" s="96">
        <f>-(V118-U118)*B98</f>
        <v>-93306.632468272379</v>
      </c>
      <c r="W140" s="96">
        <f>-(W118-V118)*B98</f>
        <v>-97412.124296876427</v>
      </c>
      <c r="X140" s="96">
        <f>-(X118-W118)*B98</f>
        <v>-101698.2577659391</v>
      </c>
      <c r="Y140" s="96">
        <f>-(Y118-X118)*B98</f>
        <v>-106172.98110764027</v>
      </c>
      <c r="Z140" s="96">
        <f>-(Z118-Y118)*B98</f>
        <v>-110844.5922763765</v>
      </c>
      <c r="AA140" s="96">
        <f>-(AA118-Z118)*B98</f>
        <v>-115721.75433653705</v>
      </c>
    </row>
    <row r="141" spans="1:27">
      <c r="A141" s="97" t="s">
        <v>40</v>
      </c>
      <c r="B141" s="96">
        <f>-(B84+B85)*B87</f>
        <v>-75728813.559322044</v>
      </c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</row>
    <row r="142" spans="1:27">
      <c r="A142" s="97" t="s">
        <v>41</v>
      </c>
      <c r="B142" s="96">
        <f t="shared" ref="B142:AA142" si="217">B113-B114</f>
        <v>0</v>
      </c>
      <c r="C142" s="96">
        <f t="shared" si="217"/>
        <v>11881355.93220339</v>
      </c>
      <c r="D142" s="96">
        <f t="shared" si="217"/>
        <v>4203389.8305084752</v>
      </c>
      <c r="E142" s="96">
        <f t="shared" si="217"/>
        <v>0</v>
      </c>
      <c r="F142" s="96">
        <f t="shared" si="217"/>
        <v>1398305.0847457629</v>
      </c>
      <c r="G142" s="96">
        <f t="shared" si="217"/>
        <v>-2497578.6924939463</v>
      </c>
      <c r="H142" s="96">
        <f t="shared" si="217"/>
        <v>-2497578.6924939463</v>
      </c>
      <c r="I142" s="96">
        <f t="shared" si="217"/>
        <v>-2497578.6924939463</v>
      </c>
      <c r="J142" s="96">
        <f t="shared" si="217"/>
        <v>-2497578.6924939463</v>
      </c>
      <c r="K142" s="96">
        <f t="shared" si="217"/>
        <v>-2497578.6924939463</v>
      </c>
      <c r="L142" s="96">
        <f t="shared" si="217"/>
        <v>-2497578.6924939463</v>
      </c>
      <c r="M142" s="96">
        <f t="shared" si="217"/>
        <v>-2497578.6924939463</v>
      </c>
      <c r="N142" s="96">
        <f t="shared" si="217"/>
        <v>0</v>
      </c>
      <c r="O142" s="96">
        <f t="shared" si="217"/>
        <v>0</v>
      </c>
      <c r="P142" s="96">
        <f t="shared" si="217"/>
        <v>0</v>
      </c>
      <c r="Q142" s="96">
        <f t="shared" si="217"/>
        <v>0</v>
      </c>
      <c r="R142" s="96">
        <f t="shared" si="217"/>
        <v>0</v>
      </c>
      <c r="S142" s="96">
        <f t="shared" si="217"/>
        <v>0</v>
      </c>
      <c r="T142" s="96">
        <f t="shared" si="217"/>
        <v>0</v>
      </c>
      <c r="U142" s="96">
        <f t="shared" si="217"/>
        <v>0</v>
      </c>
      <c r="V142" s="96">
        <f t="shared" si="217"/>
        <v>0</v>
      </c>
      <c r="W142" s="96">
        <f t="shared" si="217"/>
        <v>0</v>
      </c>
      <c r="X142" s="96">
        <f t="shared" si="217"/>
        <v>0</v>
      </c>
      <c r="Y142" s="96">
        <f t="shared" si="217"/>
        <v>0</v>
      </c>
      <c r="Z142" s="96">
        <f t="shared" si="217"/>
        <v>0</v>
      </c>
      <c r="AA142" s="96">
        <f t="shared" si="217"/>
        <v>0</v>
      </c>
    </row>
    <row r="143" spans="1:27">
      <c r="A143" s="102" t="s">
        <v>42</v>
      </c>
      <c r="B143" s="95">
        <f t="shared" ref="B143:AA143" si="218">SUM(B135:B142)</f>
        <v>-89360000.000000015</v>
      </c>
      <c r="C143" s="95">
        <f t="shared" si="218"/>
        <v>18419458.714691579</v>
      </c>
      <c r="D143" s="95">
        <f t="shared" si="218"/>
        <v>11369400.881053267</v>
      </c>
      <c r="E143" s="95">
        <f t="shared" si="218"/>
        <v>7452634.4767913595</v>
      </c>
      <c r="F143" s="95">
        <f t="shared" si="218"/>
        <v>9472544.9776345901</v>
      </c>
      <c r="G143" s="95">
        <f t="shared" si="218"/>
        <v>6013054.0311686723</v>
      </c>
      <c r="H143" s="95">
        <f t="shared" si="218"/>
        <v>6875620.666018703</v>
      </c>
      <c r="I143" s="95">
        <f t="shared" si="218"/>
        <v>7759265.4040822042</v>
      </c>
      <c r="J143" s="95">
        <f t="shared" si="218"/>
        <v>6491971.2171060042</v>
      </c>
      <c r="K143" s="95">
        <f t="shared" si="218"/>
        <v>7207260.5466816714</v>
      </c>
      <c r="L143" s="95">
        <f t="shared" si="218"/>
        <v>8054872.9533345355</v>
      </c>
      <c r="M143" s="95">
        <f t="shared" si="218"/>
        <v>8922905.4771601893</v>
      </c>
      <c r="N143" s="95">
        <f t="shared" si="218"/>
        <v>12140289.663846925</v>
      </c>
      <c r="O143" s="95">
        <f t="shared" si="218"/>
        <v>12712806.146909297</v>
      </c>
      <c r="P143" s="95">
        <f t="shared" si="218"/>
        <v>13308558.542119069</v>
      </c>
      <c r="Q143" s="95">
        <f t="shared" si="218"/>
        <v>13928569.229610723</v>
      </c>
      <c r="R143" s="95">
        <f t="shared" si="218"/>
        <v>14573905.574244671</v>
      </c>
      <c r="S143" s="95">
        <f t="shared" si="218"/>
        <v>15245681.904935164</v>
      </c>
      <c r="T143" s="95">
        <f t="shared" si="218"/>
        <v>14890916.496322934</v>
      </c>
      <c r="U143" s="95">
        <f t="shared" si="218"/>
        <v>15574686.494477529</v>
      </c>
      <c r="V143" s="95">
        <f t="shared" si="218"/>
        <v>16288542.372550927</v>
      </c>
      <c r="W143" s="95">
        <f t="shared" si="218"/>
        <v>17033807.90925955</v>
      </c>
      <c r="X143" s="95">
        <f t="shared" si="218"/>
        <v>17811865.129583355</v>
      </c>
      <c r="Y143" s="95">
        <f t="shared" si="218"/>
        <v>18624156.86760141</v>
      </c>
      <c r="Z143" s="95">
        <f t="shared" si="218"/>
        <v>19472189.442092258</v>
      </c>
      <c r="AA143" s="95">
        <f t="shared" si="218"/>
        <v>20357535.449860699</v>
      </c>
    </row>
    <row r="144" spans="1:27">
      <c r="A144" s="102" t="s">
        <v>43</v>
      </c>
      <c r="B144" s="95">
        <f>SUM(B143:B143)</f>
        <v>-89360000.000000015</v>
      </c>
      <c r="C144" s="95">
        <f>SUM(B143:C143)</f>
        <v>-70940541.285308436</v>
      </c>
      <c r="D144" s="95">
        <f>SUM(B143:D143)</f>
        <v>-59571140.404255167</v>
      </c>
      <c r="E144" s="95">
        <f>SUM(B143:E143)</f>
        <v>-52118505.927463807</v>
      </c>
      <c r="F144" s="95">
        <f>SUM(B143:F143)</f>
        <v>-42645960.949829221</v>
      </c>
      <c r="G144" s="95">
        <f>SUM(B143:G143)</f>
        <v>-36632906.918660551</v>
      </c>
      <c r="H144" s="95">
        <f>SUM(B143:H143)</f>
        <v>-29757286.252641849</v>
      </c>
      <c r="I144" s="95">
        <f>SUM(B143:I143)</f>
        <v>-21998020.848559644</v>
      </c>
      <c r="J144" s="95">
        <f>SUM(B143:J143)</f>
        <v>-15506049.631453641</v>
      </c>
      <c r="K144" s="95">
        <f>SUM(B143:K143)</f>
        <v>-8298789.0847719694</v>
      </c>
      <c r="L144" s="95">
        <f>SUM(B143:L143)</f>
        <v>-243916.13143743388</v>
      </c>
      <c r="M144" s="95">
        <f>SUM(B143:M143)</f>
        <v>8678989.3457227554</v>
      </c>
      <c r="N144" s="95">
        <f>SUM(B143:N143)</f>
        <v>20819279.009569682</v>
      </c>
      <c r="O144" s="95">
        <f>SUM(B143:O143)</f>
        <v>33532085.156478979</v>
      </c>
      <c r="P144" s="95">
        <f>SUM(B143:P143)</f>
        <v>46840643.69859805</v>
      </c>
      <c r="Q144" s="95">
        <f>SUM(B143:Q143)</f>
        <v>60769212.928208768</v>
      </c>
      <c r="R144" s="95">
        <f>SUM(B143:R143)</f>
        <v>75343118.502453446</v>
      </c>
      <c r="S144" s="95">
        <f>SUM(B143:S143)</f>
        <v>90588800.407388613</v>
      </c>
      <c r="T144" s="95">
        <f>SUM(B143:T143)</f>
        <v>105479716.90371154</v>
      </c>
      <c r="U144" s="95">
        <f>SUM(B143:U143)</f>
        <v>121054403.39818907</v>
      </c>
      <c r="V144" s="95">
        <f>SUM(B143:V143)</f>
        <v>137342945.77074</v>
      </c>
      <c r="W144" s="95">
        <f>SUM(B143:W143)</f>
        <v>154376753.67999956</v>
      </c>
      <c r="X144" s="95">
        <f>SUM(B143:X143)</f>
        <v>172188618.80958292</v>
      </c>
      <c r="Y144" s="95">
        <f>SUM(B143:Y143)</f>
        <v>190812775.67718434</v>
      </c>
      <c r="Z144" s="95">
        <f>SUM(B143:Z143)</f>
        <v>210284965.11927661</v>
      </c>
      <c r="AA144" s="95">
        <f>SUM(B143:AA143)</f>
        <v>230642500.56913731</v>
      </c>
    </row>
    <row r="145" spans="1:27">
      <c r="A145" s="103" t="s">
        <v>44</v>
      </c>
      <c r="B145" s="104">
        <f>1/POWER((1+B103),B133)</f>
        <v>1</v>
      </c>
      <c r="C145" s="104">
        <f>1/POWER((1+B103),C133)</f>
        <v>0.92250922509225086</v>
      </c>
      <c r="D145" s="104">
        <f>1/POWER((1+B103),D133)</f>
        <v>0.85102327038030523</v>
      </c>
      <c r="E145" s="104">
        <f>1/POWER((1+B103),E133)</f>
        <v>0.78507681769400839</v>
      </c>
      <c r="F145" s="104">
        <f>1/POWER((1+B103),F133)</f>
        <v>0.72424060672879009</v>
      </c>
      <c r="G145" s="104">
        <f>1/POWER((1+B103),G133)</f>
        <v>0.66811864089371786</v>
      </c>
      <c r="H145" s="104">
        <f>1/POWER((1+B103),H133)</f>
        <v>0.61634560968055141</v>
      </c>
      <c r="I145" s="104">
        <f>1/POWER((1+B103),I133)</f>
        <v>0.56858451077541639</v>
      </c>
      <c r="J145" s="104">
        <f>1/POWER((1+B103),J133)</f>
        <v>0.5245244564348861</v>
      </c>
      <c r="K145" s="104">
        <f>1/POWER((1+B103),K133)</f>
        <v>0.48387864984768086</v>
      </c>
      <c r="L145" s="104">
        <f>1/POWER((1+B103),L133)</f>
        <v>0.44638251830966863</v>
      </c>
      <c r="M145" s="104">
        <f>1/POWER((1+B103),M133)</f>
        <v>0.41179199106057984</v>
      </c>
      <c r="N145" s="104">
        <f>1/POWER((1+B103),N133)</f>
        <v>0.37988191057249071</v>
      </c>
      <c r="O145" s="104">
        <f>1/POWER((1+B103),O133)</f>
        <v>0.35044456694879217</v>
      </c>
      <c r="P145" s="104">
        <f>1/POWER((1+B103),P133)</f>
        <v>0.32328834589371969</v>
      </c>
      <c r="Q145" s="104">
        <f>1/POWER((1+B103),Q133)</f>
        <v>0.2982364814517709</v>
      </c>
      <c r="R145" s="104">
        <f>1/POWER((1+B103),R133)</f>
        <v>0.27512590539831266</v>
      </c>
      <c r="S145" s="104">
        <f>1/POWER((1+B103),S133)</f>
        <v>0.25380618579180131</v>
      </c>
      <c r="T145" s="104">
        <f>1/POWER((1+B103),T133)</f>
        <v>0.2341385477784145</v>
      </c>
      <c r="U145" s="104">
        <f>1/POWER((1+B103),U133)</f>
        <v>0.21599497027529013</v>
      </c>
      <c r="V145" s="104">
        <f>1/POWER((1+B103),V133)</f>
        <v>0.19925735265248168</v>
      </c>
      <c r="W145" s="104">
        <f>1/POWER((1+B103),W133)</f>
        <v>0.18381674598937425</v>
      </c>
      <c r="X145" s="104">
        <f>1/POWER((1+B103),X133)</f>
        <v>0.16957264390163673</v>
      </c>
      <c r="Y145" s="104">
        <f>1/POWER((1+B103),Y133)</f>
        <v>0.15643232832254311</v>
      </c>
      <c r="Z145" s="104">
        <f>1/POWER((1+B103),Z133)</f>
        <v>0.14431026598020583</v>
      </c>
      <c r="AA145" s="104">
        <f>1/POWER((1+B103),AA133)</f>
        <v>0.13312755164225631</v>
      </c>
    </row>
    <row r="146" spans="1:27">
      <c r="A146" s="105" t="s">
        <v>45</v>
      </c>
      <c r="B146" s="106">
        <f t="shared" ref="B146:AA146" si="219">B143*B145</f>
        <v>-89360000.000000015</v>
      </c>
      <c r="C146" s="106">
        <f t="shared" si="219"/>
        <v>16992120.585508835</v>
      </c>
      <c r="D146" s="106">
        <f t="shared" si="219"/>
        <v>9675624.7200586759</v>
      </c>
      <c r="E146" s="106">
        <f t="shared" si="219"/>
        <v>5850890.5584760113</v>
      </c>
      <c r="F146" s="106">
        <f t="shared" si="219"/>
        <v>6860401.7218678286</v>
      </c>
      <c r="G146" s="106">
        <f t="shared" si="219"/>
        <v>4017433.4869249049</v>
      </c>
      <c r="H146" s="106">
        <f t="shared" si="219"/>
        <v>4237758.6113294968</v>
      </c>
      <c r="I146" s="106">
        <f t="shared" si="219"/>
        <v>4411798.1237566937</v>
      </c>
      <c r="J146" s="106">
        <f t="shared" si="219"/>
        <v>3405197.6738434527</v>
      </c>
      <c r="K146" s="106">
        <f t="shared" si="219"/>
        <v>3487439.5024287854</v>
      </c>
      <c r="L146" s="106">
        <f t="shared" si="219"/>
        <v>3595554.4735739077</v>
      </c>
      <c r="M146" s="106">
        <f t="shared" si="219"/>
        <v>3674381.0124851475</v>
      </c>
      <c r="N146" s="106">
        <f t="shared" si="219"/>
        <v>4611876.4324056311</v>
      </c>
      <c r="O146" s="106">
        <f t="shared" si="219"/>
        <v>4455133.8448575716</v>
      </c>
      <c r="P146" s="106">
        <f t="shared" si="219"/>
        <v>4302501.8773114076</v>
      </c>
      <c r="Q146" s="106">
        <f t="shared" si="219"/>
        <v>4154007.4786965051</v>
      </c>
      <c r="R146" s="106">
        <f t="shared" si="219"/>
        <v>4009658.9663035809</v>
      </c>
      <c r="S146" s="106">
        <f t="shared" si="219"/>
        <v>3869448.3740866776</v>
      </c>
      <c r="T146" s="106">
        <f t="shared" si="219"/>
        <v>3486537.5635386878</v>
      </c>
      <c r="U146" s="106">
        <f t="shared" si="219"/>
        <v>3364053.9464216367</v>
      </c>
      <c r="V146" s="106">
        <f t="shared" si="219"/>
        <v>3245611.8317222707</v>
      </c>
      <c r="W146" s="106">
        <f t="shared" si="219"/>
        <v>3131099.1416881569</v>
      </c>
      <c r="X146" s="106">
        <f t="shared" si="219"/>
        <v>3020405.0628428189</v>
      </c>
      <c r="Y146" s="106">
        <f t="shared" si="219"/>
        <v>2913420.22184317</v>
      </c>
      <c r="Z146" s="106">
        <f t="shared" si="219"/>
        <v>2810036.8376052896</v>
      </c>
      <c r="AA146" s="106">
        <f t="shared" si="219"/>
        <v>2710148.8519103937</v>
      </c>
    </row>
    <row r="147" spans="1:27">
      <c r="A147" s="105" t="s">
        <v>46</v>
      </c>
      <c r="B147" s="106">
        <f>SUM(B146:B146)</f>
        <v>-89360000.000000015</v>
      </c>
      <c r="C147" s="106">
        <f>SUM(B146:C146)</f>
        <v>-72367879.414491177</v>
      </c>
      <c r="D147" s="106">
        <f>SUM(B146:D146)</f>
        <v>-62692254.694432497</v>
      </c>
      <c r="E147" s="106">
        <f>SUM(B146:E146)</f>
        <v>-56841364.135956489</v>
      </c>
      <c r="F147" s="106">
        <f>SUM(B146:F146)</f>
        <v>-49980962.414088659</v>
      </c>
      <c r="G147" s="106">
        <f>SUM(B146:G146)</f>
        <v>-45963528.927163757</v>
      </c>
      <c r="H147" s="106">
        <f>SUM(B146:H146)</f>
        <v>-41725770.315834261</v>
      </c>
      <c r="I147" s="106">
        <f>SUM(B146:I146)</f>
        <v>-37313972.19207757</v>
      </c>
      <c r="J147" s="106">
        <f>SUM(B146:J146)</f>
        <v>-33908774.518234119</v>
      </c>
      <c r="K147" s="106">
        <f>SUM(B146:K146)</f>
        <v>-30421335.015805334</v>
      </c>
      <c r="L147" s="106">
        <f>SUM(B146:L146)</f>
        <v>-26825780.542231426</v>
      </c>
      <c r="M147" s="106">
        <f>SUM(B146:M146)</f>
        <v>-23151399.529746279</v>
      </c>
      <c r="N147" s="106">
        <f>SUM(B146:N146)</f>
        <v>-18539523.097340647</v>
      </c>
      <c r="O147" s="106">
        <f>SUM(B146:O146)</f>
        <v>-14084389.252483075</v>
      </c>
      <c r="P147" s="106">
        <f>SUM(B146:P146)</f>
        <v>-9781887.3751716688</v>
      </c>
      <c r="Q147" s="106">
        <f>SUM(B146:Q146)</f>
        <v>-5627879.8964751642</v>
      </c>
      <c r="R147" s="106">
        <f>SUM(B146:R146)</f>
        <v>-1618220.9301715833</v>
      </c>
      <c r="S147" s="106">
        <f>SUM(B146:S146)</f>
        <v>2251227.4439150942</v>
      </c>
      <c r="T147" s="106">
        <f>SUM(B146:T146)</f>
        <v>5737765.0074537825</v>
      </c>
      <c r="U147" s="106">
        <f>SUM(B146:U146)</f>
        <v>9101818.9538754188</v>
      </c>
      <c r="V147" s="106">
        <f>SUM(B146:V146)</f>
        <v>12347430.785597689</v>
      </c>
      <c r="W147" s="106">
        <f>SUM(B146:W146)</f>
        <v>15478529.927285846</v>
      </c>
      <c r="X147" s="106">
        <f>SUM(B146:X146)</f>
        <v>18498934.990128666</v>
      </c>
      <c r="Y147" s="106">
        <f>SUM(B146:Y146)</f>
        <v>21412355.211971834</v>
      </c>
      <c r="Z147" s="106">
        <f>SUM(B146:Z146)</f>
        <v>24222392.049577124</v>
      </c>
      <c r="AA147" s="106">
        <f>SUM(B146:AA146)</f>
        <v>26932540.901487518</v>
      </c>
    </row>
    <row r="148" spans="1:27">
      <c r="A148" s="105" t="s">
        <v>47</v>
      </c>
      <c r="B148" s="107">
        <f>IF((ISERR(IRR(B143:B143))),0,IF(IRR(B143:B143)&lt;0,0,IRR(B143:B143)))</f>
        <v>0</v>
      </c>
      <c r="C148" s="107">
        <f>IF((ISERR(IRR(B143:C143))),0,IF(IRR(B143:C143)&lt;0,0,IRR(B143:C143)))</f>
        <v>0</v>
      </c>
      <c r="D148" s="107">
        <f>IF((ISERR(IRR(B143:D143))),0,IF(IRR(B143:D143)&lt;0,0,IRR(B143:D143)))</f>
        <v>0</v>
      </c>
      <c r="E148" s="107">
        <f>IF((ISERR(IRR(B143:E143))),0,IF(IRR(B143:E143)&lt;0,0,IRR(B143:E143)))</f>
        <v>0</v>
      </c>
      <c r="F148" s="107">
        <f>IF((ISERR(IRR(B143:F143))),0,IF(IRR(B143:F143)&lt;0,0,IRR(B143:F143)))</f>
        <v>0</v>
      </c>
      <c r="G148" s="107">
        <f>IF((ISERR(IRR(B143:G143))),0,IF(IRR(B143:G143)&lt;0,0,IRR(B143:G143)))</f>
        <v>0</v>
      </c>
      <c r="H148" s="107">
        <f>IF((ISERR(IRR(B143:H143))),0,IF(IRR(B143:H143)&lt;0,0,IRR(B143:H143)))</f>
        <v>0</v>
      </c>
      <c r="I148" s="107">
        <f>IF((ISERR(IRR(B143:I143))),0,IF(IRR(B143:I143)&lt;0,0,IRR(B143:I143)))</f>
        <v>0</v>
      </c>
      <c r="J148" s="107">
        <f>IF((ISERR(IRR(B143:J143))),0,IF(IRR(B143:J143)&lt;0,0,IRR(B143:J143)))</f>
        <v>0</v>
      </c>
      <c r="K148" s="107">
        <f>IF((ISERR(IRR(B143:K143))),0,IF(IRR(B143:K143)&lt;0,0,IRR(B143:K143)))</f>
        <v>0</v>
      </c>
      <c r="L148" s="107">
        <f>IF((ISERR(IRR(B143:L143))),0,IF(IRR(B143:L143)&lt;0,0,IRR(B143:L143)))</f>
        <v>0</v>
      </c>
      <c r="M148" s="107">
        <f>IF((ISERR(IRR(B143:M143))),0,IF(IRR(B143:M143)&lt;0,0,IRR(B143:M143)))</f>
        <v>1.7896496589779431E-2</v>
      </c>
      <c r="N148" s="107">
        <f>IF((ISERR(IRR(B143:N143))),0,IF(IRR(B143:N143)&lt;0,0,IRR(B143:N143)))</f>
        <v>3.678035734476226E-2</v>
      </c>
      <c r="O148" s="107">
        <f>IF((ISERR(IRR(B143:O143))),0,IF(IRR(B143:O143)&lt;0,0,IRR(B143:O143)))</f>
        <v>5.155644291906003E-2</v>
      </c>
      <c r="P148" s="107">
        <f>IF((ISERR(IRR(B143:P143))),0,IF(IRR(B143:P143)&lt;0,0,IRR(B143:P143)))</f>
        <v>6.3406532123130743E-2</v>
      </c>
      <c r="Q148" s="107">
        <f>IF((ISERR(IRR(B143:Q143))),0,IF(IRR(B143:Q143)&lt;0,0,IRR(B143:Q143)))</f>
        <v>7.3080190209138696E-2</v>
      </c>
      <c r="R148" s="107">
        <f>IF((ISERR(IRR(B143:R143))),0,IF(IRR(B143:R143)&lt;0,0,IRR(B143:R143)))</f>
        <v>8.1085935618897098E-2</v>
      </c>
      <c r="S148" s="107">
        <f>IF((ISERR(IRR(B143:S143))),0,IF(IRR(B143:S143)&lt;0,0,IRR(B143:S143)))</f>
        <v>8.778483894236988E-2</v>
      </c>
      <c r="T148" s="107">
        <f>IF((ISERR(IRR(B143:T143))),0,IF(IRR(B143:T143)&lt;0,0,IRR(B143:T143)))</f>
        <v>9.308852442936133E-2</v>
      </c>
      <c r="U148" s="107">
        <f>IF((ISERR(IRR(B143:U143))),0,IF(IRR(B143:U143)&lt;0,0,IRR(B143:U143)))</f>
        <v>9.7635444400549387E-2</v>
      </c>
      <c r="V148" s="107">
        <f>IF((ISERR(IRR(B143:V143))),0,IF(IRR(B143:V143)&lt;0,0,IRR(B143:V143)))</f>
        <v>0.10155570841756845</v>
      </c>
      <c r="W148" s="107">
        <f>IF((ISERR(IRR(B143:W143))),0,IF(IRR(B143:W143)&lt;0,0,IRR(B143:W143)))</f>
        <v>0.10495296229302964</v>
      </c>
      <c r="X148" s="107">
        <f>IF((ISERR(IRR(B143:X143))),0,IF(IRR(B143:X143)&lt;0,0,IRR(B143:X143)))</f>
        <v>0.10791058844696488</v>
      </c>
      <c r="Y148" s="107">
        <f>IF((ISERR(IRR(B143:Y143))),0,IF(IRR(B143:Y143)&lt;0,0,IRR(B143:Y143)))</f>
        <v>0.11049627432836573</v>
      </c>
      <c r="Z148" s="107">
        <f>IF((ISERR(IRR(B143:Z143))),0,IF(IRR(B143:Z143)&lt;0,0,IRR(B143:Z143)))</f>
        <v>0.11276542132039147</v>
      </c>
      <c r="AA148" s="107">
        <f>IF((ISERR(IRR(B143:AA143))),0,IF(IRR(B143:AA143)&lt;0,0,IRR(B143:AA143)))</f>
        <v>0.11476371881380132</v>
      </c>
    </row>
    <row r="149" spans="1:27">
      <c r="A149" s="105" t="s">
        <v>48</v>
      </c>
      <c r="B149" s="108"/>
      <c r="C149" s="108">
        <f t="shared" ref="C149" si="220">IF(AND(C144&gt;0,B144&lt;0),(C133-(C144/(C144-B144))),0)</f>
        <v>0</v>
      </c>
      <c r="D149" s="108">
        <f t="shared" ref="D149" si="221">IF(AND(D144&gt;0,C144&lt;0),(D133-(D144/(D144-C144))),0)</f>
        <v>0</v>
      </c>
      <c r="E149" s="108">
        <f t="shared" ref="E149" si="222">IF(AND(E144&gt;0,D144&lt;0),(E133-(E144/(E144-D144))),0)</f>
        <v>0</v>
      </c>
      <c r="F149" s="108">
        <f t="shared" ref="F149" si="223">IF(AND(F144&gt;0,E144&lt;0),(F133-(F144/(F144-E144))),0)</f>
        <v>0</v>
      </c>
      <c r="G149" s="108">
        <f t="shared" ref="G149" si="224">IF(AND(G144&gt;0,F144&lt;0),(G133-(G144/(G144-F144))),0)</f>
        <v>0</v>
      </c>
      <c r="H149" s="108">
        <f t="shared" ref="H149" si="225">IF(AND(H144&gt;0,G144&lt;0),(H133-(H144/(H144-G144))),0)</f>
        <v>0</v>
      </c>
      <c r="I149" s="108">
        <f t="shared" ref="I149" si="226">IF(AND(I144&gt;0,H144&lt;0),(I133-(I144/(I144-H144))),0)</f>
        <v>0</v>
      </c>
      <c r="J149" s="108">
        <f t="shared" ref="J149" si="227">IF(AND(J144&gt;0,I144&lt;0),(J133-(J144/(J144-I144))),0)</f>
        <v>0</v>
      </c>
      <c r="K149" s="108">
        <f t="shared" ref="K149" si="228">IF(AND(K144&gt;0,J144&lt;0),(K133-(K144/(K144-J144))),0)</f>
        <v>0</v>
      </c>
      <c r="L149" s="108">
        <f t="shared" ref="L149" si="229">IF(AND(L144&gt;0,K144&lt;0),(L133-(L144/(L144-K144))),0)</f>
        <v>0</v>
      </c>
      <c r="M149" s="108">
        <f t="shared" ref="M149" si="230">IF(AND(M144&gt;0,L144&lt;0),(M133-(M144/(M144-L144))),0)</f>
        <v>10.027335953749795</v>
      </c>
      <c r="N149" s="108">
        <f t="shared" ref="N149" si="231">IF(AND(N144&gt;0,M144&lt;0),(N133-(N144/(N144-M144))),0)</f>
        <v>0</v>
      </c>
      <c r="O149" s="108">
        <f t="shared" ref="O149" si="232">IF(AND(O144&gt;0,N144&lt;0),(O133-(O144/(O144-N144))),0)</f>
        <v>0</v>
      </c>
      <c r="P149" s="108">
        <f>IF(AND(P144&gt;0,O144&lt;0),(P133-(P144/(P144-O144))),0)</f>
        <v>0</v>
      </c>
      <c r="Q149" s="108">
        <f>IF(AND(Q144&gt;0,P144&lt;0),(Q133-(Q144/(Q144-P144))),0)</f>
        <v>0</v>
      </c>
      <c r="R149" s="108">
        <f t="shared" ref="R149" si="233">IF(AND(R144&gt;0,Q144&lt;0),(R133-(R144/(R144-Q144))),0)</f>
        <v>0</v>
      </c>
      <c r="S149" s="108">
        <f t="shared" ref="S149" si="234">IF(AND(S144&gt;0,R144&lt;0),(S133-(S144/(S144-R144))),0)</f>
        <v>0</v>
      </c>
      <c r="T149" s="108">
        <f t="shared" ref="T149" si="235">IF(AND(T144&gt;0,S144&lt;0),(T133-(T144/(T144-S144))),0)</f>
        <v>0</v>
      </c>
      <c r="U149" s="108">
        <f t="shared" ref="U149" si="236">IF(AND(U144&gt;0,T144&lt;0),(U133-(U144/(U144-T144))),0)</f>
        <v>0</v>
      </c>
      <c r="V149" s="108">
        <f t="shared" ref="V149" si="237">IF(AND(V144&gt;0,U144&lt;0),(V133-(V144/(V144-U144))),0)</f>
        <v>0</v>
      </c>
      <c r="W149" s="108">
        <f t="shared" ref="W149" si="238">IF(AND(W144&gt;0,V144&lt;0),(W133-(W144/(W144-V144))),0)</f>
        <v>0</v>
      </c>
      <c r="X149" s="108">
        <f t="shared" ref="X149" si="239">IF(AND(X144&gt;0,W144&lt;0),(X133-(X144/(X144-W144))),0)</f>
        <v>0</v>
      </c>
      <c r="Y149" s="108">
        <f t="shared" ref="Y149" si="240">IF(AND(Y144&gt;0,X144&lt;0),(Y133-(Y144/(Y144-X144))),0)</f>
        <v>0</v>
      </c>
      <c r="Z149" s="108">
        <f t="shared" ref="Z149" si="241">IF(AND(Z144&gt;0,Y144&lt;0),(Z133-(Z144/(Z144-Y144))),0)</f>
        <v>0</v>
      </c>
      <c r="AA149" s="108">
        <f t="shared" ref="AA149" si="242">IF(AND(AA144&gt;0,Z144&lt;0),(AA133-(AA144/(AA144-Z144))),0)</f>
        <v>0</v>
      </c>
    </row>
    <row r="150" spans="1:27" ht="16.5" thickBot="1">
      <c r="A150" s="109" t="s">
        <v>49</v>
      </c>
      <c r="B150" s="110"/>
      <c r="C150" s="110">
        <f t="shared" ref="C150" si="243">IF(AND(C147&gt;0,B147&lt;0),(C133-(C147/(C147-B147))),0)</f>
        <v>0</v>
      </c>
      <c r="D150" s="110">
        <f t="shared" ref="D150" si="244">IF(AND(D147&gt;0,C147&lt;0),(D133-(D147/(D147-C147))),0)</f>
        <v>0</v>
      </c>
      <c r="E150" s="110">
        <f t="shared" ref="E150" si="245">IF(AND(E147&gt;0,D147&lt;0),(E133-(E147/(E147-D147))),0)</f>
        <v>0</v>
      </c>
      <c r="F150" s="110">
        <f t="shared" ref="F150" si="246">IF(AND(F147&gt;0,E147&lt;0),(F133-(F147/(F147-E147))),0)</f>
        <v>0</v>
      </c>
      <c r="G150" s="110">
        <f t="shared" ref="G150" si="247">IF(AND(G147&gt;0,F147&lt;0),(G133-(G147/(G147-F147))),0)</f>
        <v>0</v>
      </c>
      <c r="H150" s="110">
        <f t="shared" ref="H150" si="248">IF(AND(H147&gt;0,G147&lt;0),(H133-(H147/(H147-G147))),0)</f>
        <v>0</v>
      </c>
      <c r="I150" s="110">
        <f t="shared" ref="I150" si="249">IF(AND(I147&gt;0,H147&lt;0),(I133-(I147/(I147-H147))),0)</f>
        <v>0</v>
      </c>
      <c r="J150" s="110">
        <f t="shared" ref="J150" si="250">IF(AND(J147&gt;0,I147&lt;0),(J133-(J147/(J147-I147))),0)</f>
        <v>0</v>
      </c>
      <c r="K150" s="110">
        <f t="shared" ref="K150" si="251">IF(AND(K147&gt;0,J147&lt;0),(K133-(K147/(K147-J147))),0)</f>
        <v>0</v>
      </c>
      <c r="L150" s="110">
        <f t="shared" ref="L150" si="252">IF(AND(L147&gt;0,K147&lt;0),(L133-(L147/(L147-K147))),0)</f>
        <v>0</v>
      </c>
      <c r="M150" s="110">
        <f t="shared" ref="M150" si="253">IF(AND(M147&gt;0,L147&lt;0),(M133-(M147/(M147-L147))),0)</f>
        <v>0</v>
      </c>
      <c r="N150" s="110">
        <f t="shared" ref="N150" si="254">IF(AND(N147&gt;0,M147&lt;0),(N133-(N147/(N147-M147))),0)</f>
        <v>0</v>
      </c>
      <c r="O150" s="110">
        <f t="shared" ref="O150" si="255">IF(AND(O147&gt;0,N147&lt;0),(O133-(O147/(O147-N147))),0)</f>
        <v>0</v>
      </c>
      <c r="P150" s="110">
        <f t="shared" ref="P150" si="256">IF(AND(P147&gt;0,O147&lt;0),(P133-(P147/(P147-O147))),0)</f>
        <v>0</v>
      </c>
      <c r="Q150" s="110">
        <f t="shared" ref="Q150" si="257">IF(AND(Q147&gt;0,P147&lt;0),(Q133-(Q147/(Q147-P147))),0)</f>
        <v>0</v>
      </c>
      <c r="R150" s="110">
        <f t="shared" ref="R150" si="258">IF(AND(R147&gt;0,Q147&lt;0),(R133-(R147/(R147-Q147))),0)</f>
        <v>0</v>
      </c>
      <c r="S150" s="110">
        <f t="shared" ref="S150" si="259">IF(AND(S147&gt;0,R147&lt;0),(S133-(S147/(S147-R147))),0)</f>
        <v>16.418204553653862</v>
      </c>
      <c r="T150" s="110">
        <f t="shared" ref="T150" si="260">IF(AND(T147&gt;0,S147&lt;0),(T133-(T147/(T147-S147))),0)</f>
        <v>0</v>
      </c>
      <c r="U150" s="110">
        <f t="shared" ref="U150" si="261">IF(AND(U147&gt;0,T147&lt;0),(U133-(U147/(U147-T147))),0)</f>
        <v>0</v>
      </c>
      <c r="V150" s="110">
        <f t="shared" ref="V150" si="262">IF(AND(V147&gt;0,U147&lt;0),(V133-(V147/(V147-U147))),0)</f>
        <v>0</v>
      </c>
      <c r="W150" s="110">
        <f t="shared" ref="W150" si="263">IF(AND(W147&gt;0,V147&lt;0),(W133-(W147/(W147-V147))),0)</f>
        <v>0</v>
      </c>
      <c r="X150" s="110">
        <f t="shared" ref="X150" si="264">IF(AND(X147&gt;0,W147&lt;0),(X133-(X147/(X147-W147))),0)</f>
        <v>0</v>
      </c>
      <c r="Y150" s="110">
        <f t="shared" ref="Y150" si="265">IF(AND(Y147&gt;0,X147&lt;0),(Y133-(Y147/(Y147-X147))),0)</f>
        <v>0</v>
      </c>
      <c r="Z150" s="110">
        <f t="shared" ref="Z150" si="266">IF(AND(Z147&gt;0,Y147&lt;0),(Z133-(Z147/(Z147-Y147))),0)</f>
        <v>0</v>
      </c>
      <c r="AA150" s="110">
        <f>IF(AND(AA147&gt;0,Z147&lt;0),(AA133-(AA147/(AA147-Z147))),0)</f>
        <v>0</v>
      </c>
    </row>
    <row r="152" spans="1:27" ht="16.5" thickBot="1">
      <c r="A152" s="58" t="s">
        <v>299</v>
      </c>
      <c r="B152" s="58" t="s">
        <v>300</v>
      </c>
      <c r="D152" s="59"/>
      <c r="E152" s="60"/>
      <c r="F152" s="60"/>
      <c r="G152" s="60"/>
      <c r="H152" s="60"/>
    </row>
    <row r="153" spans="1:27" ht="25.5">
      <c r="A153" s="61" t="s">
        <v>301</v>
      </c>
      <c r="B153" s="706">
        <f>6.4*1000000/1.18</f>
        <v>5423728.8135593226</v>
      </c>
      <c r="C153" s="680">
        <v>3</v>
      </c>
      <c r="D153" s="704" t="str">
        <f>'приложение 1.1 '!B26</f>
        <v>Реконструкция ВЛ-35кВ от ВЛ-35 кВ "Восточный-1,2" до ПС 35/6 кВ "121,68"</v>
      </c>
      <c r="E153" s="62"/>
      <c r="F153" s="62"/>
      <c r="G153" s="62"/>
      <c r="H153" s="62"/>
      <c r="I153" s="62"/>
      <c r="J153" s="62"/>
      <c r="K153" s="62"/>
    </row>
    <row r="154" spans="1:27">
      <c r="A154" s="63" t="s">
        <v>302</v>
      </c>
      <c r="B154" s="64">
        <v>0</v>
      </c>
      <c r="C154" s="62"/>
      <c r="D154" s="62"/>
      <c r="E154" s="62"/>
      <c r="F154" s="62"/>
      <c r="G154" s="62"/>
      <c r="H154" s="62"/>
      <c r="I154" s="62"/>
      <c r="J154" s="62"/>
      <c r="K154" s="62"/>
    </row>
    <row r="155" spans="1:27">
      <c r="A155" s="63" t="s">
        <v>303</v>
      </c>
      <c r="B155" s="64">
        <v>15</v>
      </c>
      <c r="C155" s="62"/>
      <c r="D155" s="57" t="s">
        <v>304</v>
      </c>
      <c r="E155" s="62"/>
      <c r="F155" s="62"/>
      <c r="G155" s="62"/>
      <c r="H155" s="62"/>
      <c r="I155" s="62"/>
      <c r="J155" s="62"/>
      <c r="K155" s="62"/>
    </row>
    <row r="156" spans="1:27" ht="16.5" thickBot="1">
      <c r="A156" s="65" t="s">
        <v>305</v>
      </c>
      <c r="B156" s="68">
        <v>1</v>
      </c>
      <c r="C156" s="62"/>
      <c r="D156" s="929" t="s">
        <v>306</v>
      </c>
      <c r="E156" s="929"/>
      <c r="F156" s="934">
        <f>SUM(B218:X218)</f>
        <v>8.7394802544668924</v>
      </c>
      <c r="G156" s="935">
        <f>SUM(C218:Y218)</f>
        <v>8.7394802544668924</v>
      </c>
      <c r="K156" s="66"/>
    </row>
    <row r="157" spans="1:27">
      <c r="A157" s="70" t="s">
        <v>469</v>
      </c>
      <c r="B157" s="473">
        <f>B153*0.417/100</f>
        <v>22616.949152542376</v>
      </c>
      <c r="C157" s="62"/>
      <c r="D157" s="929" t="s">
        <v>470</v>
      </c>
      <c r="E157" s="929"/>
      <c r="F157" s="934">
        <f>IF(SUM(B219:AA219)=0,"не окупается",SUM(B219:AA219))</f>
        <v>15.07072863238534</v>
      </c>
      <c r="G157" s="935"/>
      <c r="K157" s="66"/>
    </row>
    <row r="158" spans="1:27">
      <c r="A158" s="72" t="s">
        <v>471</v>
      </c>
      <c r="B158" s="474">
        <v>5</v>
      </c>
      <c r="C158" s="62"/>
      <c r="D158" s="929" t="s">
        <v>50</v>
      </c>
      <c r="E158" s="929"/>
      <c r="F158" s="932">
        <f>AA216</f>
        <v>2344052.7582052331</v>
      </c>
      <c r="G158" s="933"/>
      <c r="K158" s="66"/>
    </row>
    <row r="159" spans="1:27">
      <c r="A159" s="72" t="s">
        <v>6</v>
      </c>
      <c r="B159" s="474">
        <v>1</v>
      </c>
      <c r="C159" s="62"/>
      <c r="D159" s="929" t="s">
        <v>7</v>
      </c>
      <c r="E159" s="929"/>
      <c r="F159" s="930" t="str">
        <f>IF(F158&gt;0,"да","нет")</f>
        <v>да</v>
      </c>
      <c r="G159" s="931"/>
      <c r="K159" s="66"/>
    </row>
    <row r="160" spans="1:27">
      <c r="A160" s="72" t="s">
        <v>8</v>
      </c>
      <c r="B160" s="474">
        <f>B153*0.0375/100</f>
        <v>2033.8983050847457</v>
      </c>
      <c r="C160" s="62"/>
      <c r="D160" s="62"/>
      <c r="E160" s="62"/>
      <c r="F160" s="62"/>
      <c r="G160" s="62"/>
      <c r="H160" s="62"/>
      <c r="I160" s="62"/>
      <c r="J160" s="62"/>
      <c r="K160" s="62"/>
    </row>
    <row r="161" spans="1:27">
      <c r="A161" s="72" t="s">
        <v>9</v>
      </c>
      <c r="B161" s="475">
        <v>5</v>
      </c>
      <c r="C161" s="62"/>
      <c r="D161" s="62"/>
      <c r="E161" s="62"/>
      <c r="F161" s="62"/>
      <c r="G161" s="62"/>
      <c r="H161" s="62"/>
      <c r="I161" s="62"/>
      <c r="J161" s="62"/>
      <c r="K161" s="62"/>
    </row>
    <row r="162" spans="1:27">
      <c r="A162" s="72" t="s">
        <v>10</v>
      </c>
      <c r="B162" s="475">
        <v>1</v>
      </c>
      <c r="C162" s="62"/>
      <c r="D162" s="62"/>
      <c r="E162" s="62"/>
      <c r="F162" s="62"/>
      <c r="G162" s="62"/>
      <c r="H162" s="62"/>
      <c r="I162" s="62"/>
      <c r="J162" s="62"/>
      <c r="K162" s="62"/>
    </row>
    <row r="163" spans="1:27">
      <c r="A163" s="75" t="s">
        <v>290</v>
      </c>
      <c r="B163" s="475">
        <v>0</v>
      </c>
      <c r="C163" s="62"/>
      <c r="D163" s="62"/>
      <c r="E163" s="62"/>
      <c r="F163" s="62"/>
      <c r="G163" s="62"/>
      <c r="H163" s="62"/>
      <c r="I163" s="62"/>
      <c r="J163" s="62"/>
      <c r="K163" s="62"/>
    </row>
    <row r="164" spans="1:27" ht="16.5" thickBot="1">
      <c r="A164" s="471" t="s">
        <v>100</v>
      </c>
      <c r="B164" s="476">
        <v>0.2</v>
      </c>
      <c r="C164" s="62"/>
      <c r="D164" s="62"/>
      <c r="E164" s="62"/>
      <c r="F164" s="62"/>
      <c r="G164" s="62"/>
      <c r="H164" s="62"/>
      <c r="I164" s="62"/>
      <c r="J164" s="62"/>
      <c r="K164" s="62"/>
    </row>
    <row r="165" spans="1:27">
      <c r="A165" s="61" t="s">
        <v>290</v>
      </c>
      <c r="B165" s="472">
        <v>0</v>
      </c>
      <c r="C165" s="62"/>
      <c r="D165" s="62"/>
      <c r="E165" s="62"/>
      <c r="F165" s="62"/>
      <c r="G165" s="62"/>
      <c r="H165" s="62"/>
      <c r="I165" s="62"/>
      <c r="J165" s="62"/>
      <c r="K165" s="62"/>
    </row>
    <row r="166" spans="1:27">
      <c r="A166" s="63" t="s">
        <v>11</v>
      </c>
      <c r="B166" s="64">
        <v>0</v>
      </c>
      <c r="C166" s="62"/>
      <c r="D166" s="62"/>
      <c r="E166" s="62"/>
      <c r="F166" s="62"/>
      <c r="G166" s="62"/>
      <c r="H166" s="62"/>
      <c r="I166" s="62"/>
      <c r="J166" s="62"/>
      <c r="K166" s="62"/>
    </row>
    <row r="167" spans="1:27" ht="16.5" thickBot="1">
      <c r="A167" s="67" t="s">
        <v>12</v>
      </c>
      <c r="B167" s="69">
        <v>0.1</v>
      </c>
      <c r="C167" s="62"/>
      <c r="D167" s="62"/>
      <c r="E167" s="62"/>
      <c r="F167" s="62"/>
      <c r="G167" s="62"/>
      <c r="H167" s="62"/>
      <c r="I167" s="62"/>
      <c r="J167" s="62"/>
      <c r="K167" s="62"/>
    </row>
    <row r="168" spans="1:27">
      <c r="A168" s="70" t="s">
        <v>13</v>
      </c>
      <c r="B168" s="71">
        <v>7</v>
      </c>
    </row>
    <row r="169" spans="1:27">
      <c r="A169" s="72" t="s">
        <v>14</v>
      </c>
      <c r="B169" s="73">
        <v>0.16971</v>
      </c>
    </row>
    <row r="170" spans="1:27">
      <c r="A170" s="72" t="s">
        <v>15</v>
      </c>
      <c r="B170" s="74">
        <f>B169</f>
        <v>0.16971</v>
      </c>
    </row>
    <row r="171" spans="1:27">
      <c r="A171" s="72" t="s">
        <v>16</v>
      </c>
      <c r="B171" s="74">
        <f>+(B181+B182)/B153</f>
        <v>0</v>
      </c>
    </row>
    <row r="172" spans="1:27">
      <c r="A172" s="72" t="s">
        <v>17</v>
      </c>
      <c r="B172" s="74">
        <v>8.4000000000000005E-2</v>
      </c>
    </row>
    <row r="173" spans="1:27">
      <c r="A173" s="72" t="s">
        <v>18</v>
      </c>
      <c r="B173" s="74">
        <f>1-B171</f>
        <v>1</v>
      </c>
    </row>
    <row r="174" spans="1:27" ht="16.5" thickBot="1">
      <c r="A174" s="75" t="s">
        <v>19</v>
      </c>
      <c r="B174" s="76">
        <f>B173*B172+B171*B170*(1-B164)</f>
        <v>8.4000000000000005E-2</v>
      </c>
    </row>
    <row r="175" spans="1:27" ht="47.25">
      <c r="A175" s="77" t="s">
        <v>20</v>
      </c>
      <c r="B175" s="78" t="s">
        <v>553</v>
      </c>
      <c r="C175" s="79">
        <v>2017</v>
      </c>
      <c r="D175" s="80">
        <f t="shared" ref="D175" si="267">C175+1</f>
        <v>2018</v>
      </c>
      <c r="E175" s="80">
        <f t="shared" ref="E175" si="268">D175+1</f>
        <v>2019</v>
      </c>
      <c r="F175" s="80">
        <f t="shared" ref="F175" si="269">E175+1</f>
        <v>2020</v>
      </c>
      <c r="G175" s="80">
        <f t="shared" ref="G175" si="270">F175+1</f>
        <v>2021</v>
      </c>
      <c r="H175" s="80">
        <f t="shared" ref="H175" si="271">G175+1</f>
        <v>2022</v>
      </c>
      <c r="I175" s="80">
        <f t="shared" ref="I175" si="272">H175+1</f>
        <v>2023</v>
      </c>
      <c r="J175" s="80">
        <f t="shared" ref="J175" si="273">I175+1</f>
        <v>2024</v>
      </c>
      <c r="K175" s="80">
        <f t="shared" ref="K175" si="274">J175+1</f>
        <v>2025</v>
      </c>
      <c r="L175" s="81">
        <f t="shared" ref="L175" si="275">K175+1</f>
        <v>2026</v>
      </c>
      <c r="M175" s="81">
        <f t="shared" ref="M175" si="276">L175+1</f>
        <v>2027</v>
      </c>
      <c r="N175" s="81">
        <f t="shared" ref="N175" si="277">M175+1</f>
        <v>2028</v>
      </c>
      <c r="O175" s="81">
        <f t="shared" ref="O175" si="278">N175+1</f>
        <v>2029</v>
      </c>
      <c r="P175" s="81">
        <f t="shared" ref="P175" si="279">O175+1</f>
        <v>2030</v>
      </c>
      <c r="Q175" s="81">
        <f t="shared" ref="Q175" si="280">P175+1</f>
        <v>2031</v>
      </c>
      <c r="R175" s="81">
        <f t="shared" ref="R175" si="281">Q175+1</f>
        <v>2032</v>
      </c>
      <c r="S175" s="81">
        <f t="shared" ref="S175" si="282">R175+1</f>
        <v>2033</v>
      </c>
      <c r="T175" s="81">
        <f t="shared" ref="T175" si="283">S175+1</f>
        <v>2034</v>
      </c>
      <c r="U175" s="81">
        <f t="shared" ref="U175" si="284">T175+1</f>
        <v>2035</v>
      </c>
      <c r="V175" s="81">
        <f t="shared" ref="V175" si="285">U175+1</f>
        <v>2036</v>
      </c>
      <c r="W175" s="81">
        <f t="shared" ref="W175" si="286">V175+1</f>
        <v>2037</v>
      </c>
      <c r="X175" s="81">
        <f t="shared" ref="X175" si="287">W175+1</f>
        <v>2038</v>
      </c>
      <c r="Y175" s="81">
        <f t="shared" ref="Y175" si="288">X175+1</f>
        <v>2039</v>
      </c>
      <c r="Z175" s="81">
        <f t="shared" ref="Z175" si="289">Y175+1</f>
        <v>2040</v>
      </c>
      <c r="AA175" s="82">
        <f t="shared" ref="AA175" si="290">Z175+1</f>
        <v>2041</v>
      </c>
    </row>
    <row r="176" spans="1:27">
      <c r="A176" s="83" t="s">
        <v>21</v>
      </c>
      <c r="B176" s="84">
        <v>4.3999999999999997E-2</v>
      </c>
      <c r="C176" s="84">
        <v>4.3999999999999997E-2</v>
      </c>
      <c r="D176" s="84">
        <v>4.3999999999999997E-2</v>
      </c>
      <c r="E176" s="84">
        <v>4.3999999999999997E-2</v>
      </c>
      <c r="F176" s="84">
        <v>4.3999999999999997E-2</v>
      </c>
      <c r="G176" s="84">
        <v>4.3999999999999997E-2</v>
      </c>
      <c r="H176" s="84">
        <v>4.3999999999999997E-2</v>
      </c>
      <c r="I176" s="84">
        <v>4.3999999999999997E-2</v>
      </c>
      <c r="J176" s="84">
        <v>4.3999999999999997E-2</v>
      </c>
      <c r="K176" s="84">
        <v>4.3999999999999997E-2</v>
      </c>
      <c r="L176" s="84">
        <v>4.3999999999999997E-2</v>
      </c>
      <c r="M176" s="84">
        <v>4.3999999999999997E-2</v>
      </c>
      <c r="N176" s="84">
        <v>4.3999999999999997E-2</v>
      </c>
      <c r="O176" s="84">
        <v>4.3999999999999997E-2</v>
      </c>
      <c r="P176" s="84">
        <v>4.3999999999999997E-2</v>
      </c>
      <c r="Q176" s="84">
        <v>4.3999999999999997E-2</v>
      </c>
      <c r="R176" s="84">
        <v>4.3999999999999997E-2</v>
      </c>
      <c r="S176" s="84">
        <v>4.3999999999999997E-2</v>
      </c>
      <c r="T176" s="84">
        <v>4.3999999999999997E-2</v>
      </c>
      <c r="U176" s="84">
        <v>4.3999999999999997E-2</v>
      </c>
      <c r="V176" s="84">
        <v>4.3999999999999997E-2</v>
      </c>
      <c r="W176" s="84">
        <v>4.3999999999999997E-2</v>
      </c>
      <c r="X176" s="84">
        <v>4.3999999999999997E-2</v>
      </c>
      <c r="Y176" s="84">
        <v>4.3999999999999997E-2</v>
      </c>
      <c r="Z176" s="84">
        <v>4.3999999999999997E-2</v>
      </c>
      <c r="AA176" s="84">
        <v>4.3999999999999997E-2</v>
      </c>
    </row>
    <row r="177" spans="1:27">
      <c r="A177" s="83" t="s">
        <v>22</v>
      </c>
      <c r="B177" s="84">
        <f>B176</f>
        <v>4.3999999999999997E-2</v>
      </c>
      <c r="C177" s="84">
        <f>(1+B177)*(1+C176)-1</f>
        <v>8.9936000000000016E-2</v>
      </c>
      <c r="D177" s="84">
        <f>(1+C177)*(1+D176)-1</f>
        <v>0.13789318400000017</v>
      </c>
      <c r="E177" s="84">
        <f t="shared" ref="E177" si="291">(1+D177)*(1+E176)-1</f>
        <v>0.1879604840960003</v>
      </c>
      <c r="F177" s="84">
        <f t="shared" ref="F177" si="292">(1+E177)*(1+F176)-1</f>
        <v>0.24023074539622447</v>
      </c>
      <c r="G177" s="84">
        <f t="shared" ref="G177" si="293">(1+F177)*(1+G176)-1</f>
        <v>0.29480089819365829</v>
      </c>
      <c r="H177" s="84">
        <f t="shared" ref="H177" si="294">(1+G177)*(1+H176)-1</f>
        <v>0.35177213771417937</v>
      </c>
      <c r="I177" s="84">
        <f t="shared" ref="I177" si="295">(1+H177)*(1+I176)-1</f>
        <v>0.41125011177360338</v>
      </c>
      <c r="J177" s="84">
        <f t="shared" ref="J177" si="296">(1+I177)*(1+J176)-1</f>
        <v>0.47334511669164203</v>
      </c>
      <c r="K177" s="84">
        <f t="shared" ref="K177" si="297">(1+J177)*(1+K176)-1</f>
        <v>0.53817230182607423</v>
      </c>
      <c r="L177" s="84">
        <f t="shared" ref="L177" si="298">(1+K177)*(1+L176)-1</f>
        <v>0.60585188310642146</v>
      </c>
      <c r="M177" s="84">
        <f t="shared" ref="M177" si="299">(1+L177)*(1+M176)-1</f>
        <v>0.67650936596310407</v>
      </c>
      <c r="N177" s="84">
        <f t="shared" ref="N177" si="300">(1+M177)*(1+N176)-1</f>
        <v>0.75027577806548074</v>
      </c>
      <c r="O177" s="84">
        <f t="shared" ref="O177" si="301">(1+N177)*(1+O176)-1</f>
        <v>0.82728791230036203</v>
      </c>
      <c r="P177" s="84">
        <f t="shared" ref="P177" si="302">(1+O177)*(1+P176)-1</f>
        <v>0.90768858044157796</v>
      </c>
      <c r="Q177" s="84">
        <f t="shared" ref="Q177" si="303">(1+P177)*(1+Q176)-1</f>
        <v>0.99162687798100757</v>
      </c>
      <c r="R177" s="84">
        <f t="shared" ref="R177" si="304">(1+Q177)*(1+R176)-1</f>
        <v>1.0792584606121718</v>
      </c>
      <c r="S177" s="84">
        <f t="shared" ref="S177" si="305">(1+R177)*(1+S176)-1</f>
        <v>1.1707458328791076</v>
      </c>
      <c r="T177" s="84">
        <f t="shared" ref="T177" si="306">(1+S177)*(1+T176)-1</f>
        <v>1.2662586495257884</v>
      </c>
      <c r="U177" s="84">
        <f t="shared" ref="U177" si="307">(1+T177)*(1+U176)-1</f>
        <v>1.365974030104923</v>
      </c>
      <c r="V177" s="84">
        <f t="shared" ref="V177" si="308">(1+U177)*(1+V176)-1</f>
        <v>1.4700768874295398</v>
      </c>
      <c r="W177" s="84">
        <f t="shared" ref="W177" si="309">(1+V177)*(1+W176)-1</f>
        <v>1.5787602704764399</v>
      </c>
      <c r="X177" s="84">
        <f t="shared" ref="X177" si="310">(1+W177)*(1+X176)-1</f>
        <v>1.6922257223774033</v>
      </c>
      <c r="Y177" s="84">
        <f t="shared" ref="Y177" si="311">(1+X177)*(1+Y176)-1</f>
        <v>1.810683654162009</v>
      </c>
      <c r="Z177" s="84">
        <f t="shared" ref="Z177" si="312">(1+Y177)*(1+Z176)-1</f>
        <v>1.9343537349451374</v>
      </c>
      <c r="AA177" s="84">
        <f t="shared" ref="AA177" si="313">(1+Z177)*(1+AA176)-1</f>
        <v>2.0634652992827234</v>
      </c>
    </row>
    <row r="178" spans="1:27" ht="16.5" thickBot="1">
      <c r="A178" s="85" t="s">
        <v>23</v>
      </c>
      <c r="B178" s="86"/>
      <c r="C178" s="87">
        <f>B153*0.12*1.075</f>
        <v>699661.01694915257</v>
      </c>
      <c r="D178" s="87">
        <f>C178*(1+D176)</f>
        <v>730446.10169491533</v>
      </c>
      <c r="E178" s="87">
        <f t="shared" ref="E178" si="314">D178*(1+E176)</f>
        <v>762585.73016949161</v>
      </c>
      <c r="F178" s="87">
        <f t="shared" ref="F178" si="315">E178*(1+F176)</f>
        <v>796139.50229694927</v>
      </c>
      <c r="G178" s="87">
        <f t="shared" ref="G178" si="316">F178*(1+G176)</f>
        <v>831169.64039801504</v>
      </c>
      <c r="H178" s="87">
        <f t="shared" ref="H178" si="317">G178*(1+H176)</f>
        <v>867741.10457552772</v>
      </c>
      <c r="I178" s="87">
        <f t="shared" ref="I178" si="318">H178*(1+I176)</f>
        <v>905921.71317685093</v>
      </c>
      <c r="J178" s="87">
        <f t="shared" ref="J178" si="319">I178*(1+J176)</f>
        <v>945782.26855663245</v>
      </c>
      <c r="K178" s="87">
        <f t="shared" ref="K178" si="320">J178*(1+K176)</f>
        <v>987396.68837312434</v>
      </c>
      <c r="L178" s="87">
        <f t="shared" ref="L178" si="321">K178*(1+L176)</f>
        <v>1030842.1426615418</v>
      </c>
      <c r="M178" s="87">
        <f t="shared" ref="M178" si="322">L178*(1+M176)</f>
        <v>1076199.1969386498</v>
      </c>
      <c r="N178" s="87">
        <f t="shared" ref="N178" si="323">M178*(1+N176)</f>
        <v>1123551.9616039505</v>
      </c>
      <c r="O178" s="87">
        <f t="shared" ref="O178" si="324">N178*(1+O176)</f>
        <v>1172988.2479145243</v>
      </c>
      <c r="P178" s="87">
        <f t="shared" ref="P178" si="325">O178*(1+P176)</f>
        <v>1224599.7308227634</v>
      </c>
      <c r="Q178" s="87">
        <f t="shared" ref="Q178" si="326">P178*(1+Q176)</f>
        <v>1278482.1189789651</v>
      </c>
      <c r="R178" s="87">
        <f t="shared" ref="R178" si="327">Q178*(1+R176)</f>
        <v>1334735.3322140395</v>
      </c>
      <c r="S178" s="87">
        <f t="shared" ref="S178" si="328">R178*(1+S176)</f>
        <v>1393463.6868314573</v>
      </c>
      <c r="T178" s="87">
        <f t="shared" ref="T178" si="329">S178*(1+T176)</f>
        <v>1454776.0890520415</v>
      </c>
      <c r="U178" s="87">
        <f t="shared" ref="U178" si="330">T178*(1+U176)</f>
        <v>1518786.2369703315</v>
      </c>
      <c r="V178" s="87">
        <f t="shared" ref="V178" si="331">U178*(1+V176)</f>
        <v>1585612.8313970261</v>
      </c>
      <c r="W178" s="87">
        <f t="shared" ref="W178" si="332">V178*(1+W176)</f>
        <v>1655379.7959784954</v>
      </c>
      <c r="X178" s="87">
        <f t="shared" ref="X178" si="333">W178*(1+X176)</f>
        <v>1728216.5070015492</v>
      </c>
      <c r="Y178" s="87">
        <f t="shared" ref="Y178" si="334">X178*(1+Y176)</f>
        <v>1804258.0333096175</v>
      </c>
      <c r="Z178" s="87">
        <f t="shared" ref="Z178" si="335">Y178*(1+Z176)</f>
        <v>1883645.3867752408</v>
      </c>
      <c r="AA178" s="87">
        <f t="shared" ref="AA178" si="336">Z178*(1+AA176)</f>
        <v>1966525.7837933514</v>
      </c>
    </row>
    <row r="179" spans="1:27" ht="16.5" thickBot="1"/>
    <row r="180" spans="1:27" ht="47.25">
      <c r="A180" s="88" t="s">
        <v>24</v>
      </c>
      <c r="B180" s="78" t="s">
        <v>553</v>
      </c>
      <c r="C180" s="79">
        <f>C175</f>
        <v>2017</v>
      </c>
      <c r="D180" s="80">
        <f t="shared" ref="D180" si="337">C180+1</f>
        <v>2018</v>
      </c>
      <c r="E180" s="80">
        <f t="shared" ref="E180" si="338">D180+1</f>
        <v>2019</v>
      </c>
      <c r="F180" s="80">
        <f t="shared" ref="F180" si="339">E180+1</f>
        <v>2020</v>
      </c>
      <c r="G180" s="80">
        <f t="shared" ref="G180" si="340">F180+1</f>
        <v>2021</v>
      </c>
      <c r="H180" s="80">
        <f t="shared" ref="H180" si="341">G180+1</f>
        <v>2022</v>
      </c>
      <c r="I180" s="80">
        <f t="shared" ref="I180" si="342">H180+1</f>
        <v>2023</v>
      </c>
      <c r="J180" s="80">
        <f t="shared" ref="J180" si="343">I180+1</f>
        <v>2024</v>
      </c>
      <c r="K180" s="80">
        <f t="shared" ref="K180" si="344">J180+1</f>
        <v>2025</v>
      </c>
      <c r="L180" s="80">
        <f t="shared" ref="L180" si="345">K180+1</f>
        <v>2026</v>
      </c>
      <c r="M180" s="80">
        <f t="shared" ref="M180" si="346">L180+1</f>
        <v>2027</v>
      </c>
      <c r="N180" s="80">
        <f t="shared" ref="N180" si="347">M180+1</f>
        <v>2028</v>
      </c>
      <c r="O180" s="80">
        <f t="shared" ref="O180" si="348">N180+1</f>
        <v>2029</v>
      </c>
      <c r="P180" s="80">
        <f t="shared" ref="P180" si="349">O180+1</f>
        <v>2030</v>
      </c>
      <c r="Q180" s="80">
        <f t="shared" ref="Q180" si="350">P180+1</f>
        <v>2031</v>
      </c>
      <c r="R180" s="80">
        <f t="shared" ref="R180" si="351">Q180+1</f>
        <v>2032</v>
      </c>
      <c r="S180" s="80">
        <f t="shared" ref="S180" si="352">R180+1</f>
        <v>2033</v>
      </c>
      <c r="T180" s="80">
        <f t="shared" ref="T180" si="353">S180+1</f>
        <v>2034</v>
      </c>
      <c r="U180" s="80">
        <f t="shared" ref="U180" si="354">T180+1</f>
        <v>2035</v>
      </c>
      <c r="V180" s="80">
        <f t="shared" ref="V180" si="355">U180+1</f>
        <v>2036</v>
      </c>
      <c r="W180" s="80">
        <f t="shared" ref="W180" si="356">V180+1</f>
        <v>2037</v>
      </c>
      <c r="X180" s="80">
        <f t="shared" ref="X180" si="357">W180+1</f>
        <v>2038</v>
      </c>
      <c r="Y180" s="80">
        <f t="shared" ref="Y180" si="358">X180+1</f>
        <v>2039</v>
      </c>
      <c r="Z180" s="80">
        <f t="shared" ref="Z180" si="359">Y180+1</f>
        <v>2040</v>
      </c>
      <c r="AA180" s="80">
        <f t="shared" ref="AA180" si="360">Z180+1</f>
        <v>2041</v>
      </c>
    </row>
    <row r="181" spans="1:27">
      <c r="A181" s="89" t="s">
        <v>25</v>
      </c>
      <c r="B181" s="90">
        <v>0</v>
      </c>
      <c r="C181" s="90">
        <f t="shared" ref="C181" si="361">B181+B182-B183</f>
        <v>0</v>
      </c>
      <c r="D181" s="90">
        <f>C181+C182-C183</f>
        <v>0</v>
      </c>
      <c r="E181" s="90">
        <f>D181+D182-D183</f>
        <v>0</v>
      </c>
      <c r="F181" s="90">
        <f t="shared" ref="F181" si="362">E181+E182-E183</f>
        <v>0</v>
      </c>
      <c r="G181" s="90">
        <f t="shared" ref="G181" si="363">F181+F182-F183</f>
        <v>0</v>
      </c>
      <c r="H181" s="90">
        <f t="shared" ref="H181" si="364">G181+G182-G183</f>
        <v>0</v>
      </c>
      <c r="I181" s="90">
        <f>H181+H182-H183</f>
        <v>0</v>
      </c>
      <c r="J181" s="90">
        <f t="shared" ref="J181" si="365">I181+I182-I183</f>
        <v>0</v>
      </c>
      <c r="K181" s="90">
        <f t="shared" ref="K181" si="366">J181+J182-J183</f>
        <v>0</v>
      </c>
      <c r="L181" s="90">
        <f t="shared" ref="L181" si="367">K181+K182-K183</f>
        <v>0</v>
      </c>
      <c r="M181" s="90">
        <f>L181+L182-L183</f>
        <v>0</v>
      </c>
      <c r="N181" s="90">
        <f t="shared" ref="N181" si="368">M181+M182-M183</f>
        <v>0</v>
      </c>
      <c r="O181" s="90">
        <f t="shared" ref="O181" si="369">N181+N182-N183</f>
        <v>0</v>
      </c>
      <c r="P181" s="90">
        <f t="shared" ref="P181" si="370">O181+O182-O183</f>
        <v>0</v>
      </c>
      <c r="Q181" s="90">
        <f t="shared" ref="Q181" si="371">P181+P182-P183</f>
        <v>0</v>
      </c>
      <c r="R181" s="344">
        <f t="shared" ref="R181" si="372">Q181+Q182-Q183</f>
        <v>0</v>
      </c>
      <c r="S181" s="344">
        <f t="shared" ref="S181" si="373">R181+R182-R183</f>
        <v>0</v>
      </c>
      <c r="T181" s="344">
        <f t="shared" ref="T181" si="374">S181+S182-S183</f>
        <v>0</v>
      </c>
      <c r="U181" s="344">
        <f t="shared" ref="U181" si="375">T181+T182-T183</f>
        <v>0</v>
      </c>
      <c r="V181" s="344">
        <f t="shared" ref="V181" si="376">U181+U182-U183</f>
        <v>0</v>
      </c>
      <c r="W181" s="344">
        <f t="shared" ref="W181" si="377">V181+V182-V183</f>
        <v>0</v>
      </c>
      <c r="X181" s="344">
        <f t="shared" ref="X181" si="378">W181+W182-W183</f>
        <v>0</v>
      </c>
      <c r="Y181" s="344">
        <f t="shared" ref="Y181" si="379">X181+X182-X183</f>
        <v>0</v>
      </c>
      <c r="Z181" s="344">
        <f t="shared" ref="Z181" si="380">Y181+Y182-Y183</f>
        <v>0</v>
      </c>
      <c r="AA181" s="344">
        <f t="shared" ref="AA181" si="381">Z181+Z182-Z183</f>
        <v>0</v>
      </c>
    </row>
    <row r="182" spans="1:27">
      <c r="A182" s="89" t="s">
        <v>26</v>
      </c>
      <c r="B182" s="596">
        <v>0</v>
      </c>
      <c r="C182" s="596">
        <v>0</v>
      </c>
      <c r="D182" s="596">
        <v>0</v>
      </c>
      <c r="E182" s="596">
        <v>0</v>
      </c>
      <c r="F182" s="596">
        <v>0</v>
      </c>
      <c r="G182" s="90">
        <v>0</v>
      </c>
      <c r="H182" s="124">
        <v>0</v>
      </c>
      <c r="I182" s="124">
        <v>0</v>
      </c>
      <c r="J182" s="124">
        <v>0</v>
      </c>
      <c r="K182" s="124">
        <v>0</v>
      </c>
      <c r="L182" s="124">
        <v>0</v>
      </c>
      <c r="M182" s="124">
        <v>0</v>
      </c>
      <c r="N182" s="124">
        <v>0</v>
      </c>
      <c r="O182" s="124">
        <v>0</v>
      </c>
      <c r="P182" s="124">
        <v>0</v>
      </c>
      <c r="Q182" s="124">
        <v>0</v>
      </c>
      <c r="R182" s="344">
        <v>0</v>
      </c>
      <c r="S182" s="344">
        <v>0</v>
      </c>
      <c r="T182" s="344">
        <v>0</v>
      </c>
      <c r="U182" s="344">
        <v>0</v>
      </c>
      <c r="V182" s="344">
        <v>0</v>
      </c>
      <c r="W182" s="344">
        <v>0</v>
      </c>
      <c r="X182" s="344">
        <v>0</v>
      </c>
      <c r="Y182" s="344">
        <v>0</v>
      </c>
      <c r="Z182" s="344">
        <v>0</v>
      </c>
      <c r="AA182" s="344">
        <v>0</v>
      </c>
    </row>
    <row r="183" spans="1:27">
      <c r="A183" s="83" t="s">
        <v>27</v>
      </c>
      <c r="B183" s="124">
        <v>0</v>
      </c>
      <c r="C183" s="124">
        <v>0</v>
      </c>
      <c r="D183" s="124">
        <v>0</v>
      </c>
      <c r="E183" s="124"/>
      <c r="F183" s="90"/>
      <c r="G183" s="124">
        <f>G181/7</f>
        <v>0</v>
      </c>
      <c r="H183" s="90">
        <f>IF(ROUND(H181,1)=0,0,G183+H182/$B$30)</f>
        <v>0</v>
      </c>
      <c r="I183" s="90">
        <f>IF(ROUND(I181,1)=0,0,H183+I182/$B$30)</f>
        <v>0</v>
      </c>
      <c r="J183" s="90">
        <f>IF(ROUND(J181,1)=0,0,I183+J182/B168)</f>
        <v>0</v>
      </c>
      <c r="K183" s="90">
        <f>IF(ROUND(K181,1)=0,0,J183+K182/B168)</f>
        <v>0</v>
      </c>
      <c r="L183" s="90">
        <f>IF(ROUND(L181,1)=0,0,K183+L182/B168)</f>
        <v>0</v>
      </c>
      <c r="M183" s="90">
        <f>IF(ROUND(M181,1)=0,0,L183+M182/B168)</f>
        <v>0</v>
      </c>
      <c r="N183" s="90">
        <f>IF(ROUND(N181,1)=0,0,M183+N182/B168)</f>
        <v>0</v>
      </c>
      <c r="O183" s="90">
        <f>IF(ROUND(O181,1)=0,0,N183+O182/B168)</f>
        <v>0</v>
      </c>
      <c r="P183" s="90">
        <f>IF(ROUND(P181,1)=0,0,O183+P182/B168)</f>
        <v>0</v>
      </c>
      <c r="Q183" s="90">
        <f>IF(ROUND(Q181,1)=0,0,P183+Q182/B168)</f>
        <v>0</v>
      </c>
      <c r="R183" s="344">
        <f>IF(ROUND(R181,1)=0,0,Q183+R182/B168)</f>
        <v>0</v>
      </c>
      <c r="S183" s="344">
        <f>IF(ROUND(S181,1)=0,0,R183+S182/B168)</f>
        <v>0</v>
      </c>
      <c r="T183" s="344">
        <f>IF(ROUND(T181,1)=0,0,S183+T182/B168)</f>
        <v>0</v>
      </c>
      <c r="U183" s="344">
        <f>IF(ROUND(U181,1)=0,0,T183+U182/B168)</f>
        <v>0</v>
      </c>
      <c r="V183" s="344">
        <f>IF(ROUND(V181,1)=0,0,U183+V182/B168)</f>
        <v>0</v>
      </c>
      <c r="W183" s="344">
        <f>IF(ROUND(W181,1)=0,0,V183+W182/B168)</f>
        <v>0</v>
      </c>
      <c r="X183" s="344">
        <f>IF(ROUND(X181,1)=0,0,W183+X182/B168)</f>
        <v>0</v>
      </c>
      <c r="Y183" s="344">
        <f>IF(ROUND(Y181,1)=0,0,X183+Y182/B168)</f>
        <v>0</v>
      </c>
      <c r="Z183" s="344">
        <f>IF(ROUND(Z181,1)=0,0,Y183+Z182/B168)</f>
        <v>0</v>
      </c>
      <c r="AA183" s="344">
        <f>IF(ROUND(AA181,1)=0,0,Z183+AA182/B168)</f>
        <v>0</v>
      </c>
    </row>
    <row r="184" spans="1:27" ht="16.5" thickBot="1">
      <c r="A184" s="85" t="s">
        <v>28</v>
      </c>
      <c r="B184" s="91">
        <f>AVERAGE(SUM(B181:B182),(SUM(B181:B182)-B183))*B170</f>
        <v>0</v>
      </c>
      <c r="C184" s="91">
        <f>AVERAGE(SUM(C181:C182),(SUM(C181:C182)-C183))*B170</f>
        <v>0</v>
      </c>
      <c r="D184" s="91">
        <f>AVERAGE(SUM(D181:D182),(SUM(D181:D182)-D183))*B170</f>
        <v>0</v>
      </c>
      <c r="E184" s="91">
        <f>AVERAGE(SUM(E181:E182),(SUM(E181:E182)-E183))*B170</f>
        <v>0</v>
      </c>
      <c r="F184" s="91">
        <f>AVERAGE(SUM(F181:F182),(SUM(F181:F182)-F183))*B170</f>
        <v>0</v>
      </c>
      <c r="G184" s="91">
        <f>AVERAGE(SUM(G181:G182),(SUM(G181:G182)-G183))*B170</f>
        <v>0</v>
      </c>
      <c r="H184" s="91">
        <f>AVERAGE(SUM(H181:H182),(SUM(H181:H182)-H183))*B170</f>
        <v>0</v>
      </c>
      <c r="I184" s="91">
        <f>AVERAGE(SUM(I181:I182),(SUM(I181:I182)-I183))*B170</f>
        <v>0</v>
      </c>
      <c r="J184" s="91">
        <f>AVERAGE(SUM(J181:J182),(SUM(J181:J182)-J183))*B170</f>
        <v>0</v>
      </c>
      <c r="K184" s="91">
        <f>AVERAGE(SUM(K181:K182),(SUM(K181:K182)-K183))*B170</f>
        <v>0</v>
      </c>
      <c r="L184" s="91">
        <f>AVERAGE(SUM(L181:L182),(SUM(L181:L182)-L183))*B170</f>
        <v>0</v>
      </c>
      <c r="M184" s="91">
        <f>AVERAGE(SUM(M181:M182),(SUM(M181:M182)-M183))*B170</f>
        <v>0</v>
      </c>
      <c r="N184" s="91">
        <f>AVERAGE(SUM(N181:N182),(SUM(N181:N182)-N183))*B170</f>
        <v>0</v>
      </c>
      <c r="O184" s="91">
        <f>AVERAGE(SUM(O181:O182),(SUM(O181:O182)-O183))*B170</f>
        <v>0</v>
      </c>
      <c r="P184" s="91">
        <f>AVERAGE(SUM(P181:P182),(SUM(P181:P182)-P183))*B170</f>
        <v>0</v>
      </c>
      <c r="Q184" s="91">
        <f>AVERAGE(SUM(Q181:Q182),(SUM(Q181:Q182)-Q183))*B170</f>
        <v>0</v>
      </c>
      <c r="R184" s="345">
        <f>AVERAGE(SUM(R181:R182),(SUM(R181:R182)-R183))*B170</f>
        <v>0</v>
      </c>
      <c r="S184" s="345">
        <f>AVERAGE(SUM(S181:S182),(SUM(S181:S182)-S183))*B170</f>
        <v>0</v>
      </c>
      <c r="T184" s="345">
        <f>AVERAGE(SUM(T181:T182),(SUM(T181:T182)-T183))*B170</f>
        <v>0</v>
      </c>
      <c r="U184" s="345">
        <f>AVERAGE(SUM(U181:U182),(SUM(U181:U182)-U183))*B170</f>
        <v>0</v>
      </c>
      <c r="V184" s="345">
        <f>AVERAGE(SUM(V181:V182),(SUM(V181:V182)-V183))*B170</f>
        <v>0</v>
      </c>
      <c r="W184" s="345">
        <f>AVERAGE(SUM(W181:W182),(SUM(W181:W182)-W183))*B170</f>
        <v>0</v>
      </c>
      <c r="X184" s="345">
        <f>AVERAGE(SUM(X181:X182),(SUM(X181:X182)-X183))*B170</f>
        <v>0</v>
      </c>
      <c r="Y184" s="345">
        <f>AVERAGE(SUM(Y181:Y182),(SUM(Y181:Y182)-Y183))*B170</f>
        <v>0</v>
      </c>
      <c r="Z184" s="345">
        <f>AVERAGE(SUM(Z181:Z182),(SUM(Z181:Z182)-Z183))*B170</f>
        <v>0</v>
      </c>
      <c r="AA184" s="345">
        <f>AVERAGE(SUM(AA181:AA182),(SUM(AA181:AA182)-AA183))*B170</f>
        <v>0</v>
      </c>
    </row>
    <row r="185" spans="1:27" ht="16.5" thickBot="1">
      <c r="A185" s="92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</row>
    <row r="186" spans="1:27" ht="47.25">
      <c r="A186" s="88" t="s">
        <v>29</v>
      </c>
      <c r="B186" s="78" t="s">
        <v>553</v>
      </c>
      <c r="C186" s="79">
        <f>C180</f>
        <v>2017</v>
      </c>
      <c r="D186" s="80">
        <f t="shared" ref="D186" si="382">C186+1</f>
        <v>2018</v>
      </c>
      <c r="E186" s="80">
        <f t="shared" ref="E186" si="383">D186+1</f>
        <v>2019</v>
      </c>
      <c r="F186" s="80">
        <f t="shared" ref="F186" si="384">E186+1</f>
        <v>2020</v>
      </c>
      <c r="G186" s="80">
        <f t="shared" ref="G186" si="385">F186+1</f>
        <v>2021</v>
      </c>
      <c r="H186" s="80">
        <f t="shared" ref="H186" si="386">G186+1</f>
        <v>2022</v>
      </c>
      <c r="I186" s="80">
        <f t="shared" ref="I186" si="387">H186+1</f>
        <v>2023</v>
      </c>
      <c r="J186" s="80">
        <f t="shared" ref="J186" si="388">I186+1</f>
        <v>2024</v>
      </c>
      <c r="K186" s="80">
        <f t="shared" ref="K186" si="389">J186+1</f>
        <v>2025</v>
      </c>
      <c r="L186" s="80">
        <f t="shared" ref="L186" si="390">K186+1</f>
        <v>2026</v>
      </c>
      <c r="M186" s="80">
        <f t="shared" ref="M186" si="391">L186+1</f>
        <v>2027</v>
      </c>
      <c r="N186" s="80">
        <f t="shared" ref="N186" si="392">M186+1</f>
        <v>2028</v>
      </c>
      <c r="O186" s="80">
        <f t="shared" ref="O186" si="393">N186+1</f>
        <v>2029</v>
      </c>
      <c r="P186" s="80">
        <f t="shared" ref="P186" si="394">O186+1</f>
        <v>2030</v>
      </c>
      <c r="Q186" s="80">
        <f t="shared" ref="Q186" si="395">P186+1</f>
        <v>2031</v>
      </c>
      <c r="R186" s="80">
        <f t="shared" ref="R186" si="396">Q186+1</f>
        <v>2032</v>
      </c>
      <c r="S186" s="80">
        <f t="shared" ref="S186" si="397">R186+1</f>
        <v>2033</v>
      </c>
      <c r="T186" s="80">
        <f t="shared" ref="T186" si="398">S186+1</f>
        <v>2034</v>
      </c>
      <c r="U186" s="80">
        <f t="shared" ref="U186" si="399">T186+1</f>
        <v>2035</v>
      </c>
      <c r="V186" s="80">
        <f t="shared" ref="V186" si="400">U186+1</f>
        <v>2036</v>
      </c>
      <c r="W186" s="80">
        <f t="shared" ref="W186" si="401">V186+1</f>
        <v>2037</v>
      </c>
      <c r="X186" s="80">
        <f t="shared" ref="X186" si="402">W186+1</f>
        <v>2038</v>
      </c>
      <c r="Y186" s="80">
        <f t="shared" ref="Y186" si="403">X186+1</f>
        <v>2039</v>
      </c>
      <c r="Z186" s="80">
        <f t="shared" ref="Z186" si="404">Y186+1</f>
        <v>2040</v>
      </c>
      <c r="AA186" s="80">
        <f t="shared" ref="AA186" si="405">Z186+1</f>
        <v>2041</v>
      </c>
    </row>
    <row r="187" spans="1:27">
      <c r="A187" s="94" t="s">
        <v>30</v>
      </c>
      <c r="B187" s="95"/>
      <c r="C187" s="95">
        <f>C178*B156</f>
        <v>699661.01694915257</v>
      </c>
      <c r="D187" s="95">
        <f>D178*B156</f>
        <v>730446.10169491533</v>
      </c>
      <c r="E187" s="95">
        <f>E178*B156</f>
        <v>762585.73016949161</v>
      </c>
      <c r="F187" s="95">
        <f>F178*B156</f>
        <v>796139.50229694927</v>
      </c>
      <c r="G187" s="95">
        <f>G178*B156</f>
        <v>831169.64039801504</v>
      </c>
      <c r="H187" s="95">
        <f>H178*B156</f>
        <v>867741.10457552772</v>
      </c>
      <c r="I187" s="95">
        <f>I178*B156</f>
        <v>905921.71317685093</v>
      </c>
      <c r="J187" s="95">
        <f>J178*B156</f>
        <v>945782.26855663245</v>
      </c>
      <c r="K187" s="95">
        <f>K178*B156</f>
        <v>987396.68837312434</v>
      </c>
      <c r="L187" s="95">
        <f>L178*B156</f>
        <v>1030842.1426615418</v>
      </c>
      <c r="M187" s="95">
        <f>M178*B156</f>
        <v>1076199.1969386498</v>
      </c>
      <c r="N187" s="95">
        <f>N178*B156</f>
        <v>1123551.9616039505</v>
      </c>
      <c r="O187" s="95">
        <f>O178*B156</f>
        <v>1172988.2479145243</v>
      </c>
      <c r="P187" s="95">
        <f>P178*B156</f>
        <v>1224599.7308227634</v>
      </c>
      <c r="Q187" s="95">
        <f>Q178*B156</f>
        <v>1278482.1189789651</v>
      </c>
      <c r="R187" s="95">
        <f>R178*B156</f>
        <v>1334735.3322140395</v>
      </c>
      <c r="S187" s="95">
        <f>S178*B156</f>
        <v>1393463.6868314573</v>
      </c>
      <c r="T187" s="95">
        <f>T178*B156</f>
        <v>1454776.0890520415</v>
      </c>
      <c r="U187" s="95">
        <f>U178*B156</f>
        <v>1518786.2369703315</v>
      </c>
      <c r="V187" s="95">
        <f>V178*B156</f>
        <v>1585612.8313970261</v>
      </c>
      <c r="W187" s="95">
        <f>W178*B156</f>
        <v>1655379.7959784954</v>
      </c>
      <c r="X187" s="95">
        <f>X178*B156</f>
        <v>1728216.5070015492</v>
      </c>
      <c r="Y187" s="95">
        <f>Y178*B156</f>
        <v>1804258.0333096175</v>
      </c>
      <c r="Z187" s="95">
        <f>Z178*B156</f>
        <v>1883645.3867752408</v>
      </c>
      <c r="AA187" s="95">
        <f>AA178*B156</f>
        <v>1966525.7837933514</v>
      </c>
    </row>
    <row r="188" spans="1:27">
      <c r="A188" s="89" t="s">
        <v>31</v>
      </c>
      <c r="B188" s="96"/>
      <c r="C188" s="96">
        <f>SUM(C189:C194)</f>
        <v>-26867.846074576279</v>
      </c>
      <c r="D188" s="96">
        <f t="shared" ref="D188:AA188" si="406">SUM(D189:D194)</f>
        <v>-28050.031301857634</v>
      </c>
      <c r="E188" s="96">
        <f t="shared" si="406"/>
        <v>-29284.232679139375</v>
      </c>
      <c r="F188" s="96">
        <f t="shared" si="406"/>
        <v>-145917.37168538311</v>
      </c>
      <c r="G188" s="96">
        <f t="shared" si="406"/>
        <v>-143285.17106778856</v>
      </c>
      <c r="H188" s="96">
        <f t="shared" si="406"/>
        <v>-140712.15927273736</v>
      </c>
      <c r="I188" s="96">
        <f t="shared" si="406"/>
        <v>-138200.94060842143</v>
      </c>
      <c r="J188" s="96">
        <f t="shared" si="406"/>
        <v>-135754.23397259309</v>
      </c>
      <c r="K188" s="96">
        <f t="shared" si="406"/>
        <v>-133374.87789450583</v>
      </c>
      <c r="L188" s="96">
        <f t="shared" si="406"/>
        <v>-131065.83579870025</v>
      </c>
      <c r="M188" s="96">
        <f t="shared" si="406"/>
        <v>-128830.20150039672</v>
      </c>
      <c r="N188" s="96">
        <f t="shared" si="406"/>
        <v>-126671.20494268538</v>
      </c>
      <c r="O188" s="96">
        <f t="shared" si="406"/>
        <v>-124592.21818615223</v>
      </c>
      <c r="P188" s="96">
        <f t="shared" si="406"/>
        <v>-122596.76166204913</v>
      </c>
      <c r="Q188" s="96">
        <f t="shared" si="406"/>
        <v>-120688.51070060304</v>
      </c>
      <c r="R188" s="96">
        <f t="shared" si="406"/>
        <v>-118871.30234657081</v>
      </c>
      <c r="S188" s="96">
        <f t="shared" si="406"/>
        <v>-117149.14247467869</v>
      </c>
      <c r="T188" s="96">
        <f t="shared" si="406"/>
        <v>-115526.21321814082</v>
      </c>
      <c r="U188" s="96">
        <f t="shared" si="406"/>
        <v>-114006.88072403282</v>
      </c>
      <c r="V188" s="96">
        <f t="shared" si="406"/>
        <v>-116573.10437984506</v>
      </c>
      <c r="W188" s="96">
        <f t="shared" si="406"/>
        <v>-119252.24187651306</v>
      </c>
      <c r="X188" s="96">
        <f t="shared" si="406"/>
        <v>-122049.26142303442</v>
      </c>
      <c r="Y188" s="96">
        <f t="shared" si="406"/>
        <v>-124969.34982960275</v>
      </c>
      <c r="Z188" s="96">
        <f t="shared" si="406"/>
        <v>-128017.92212606006</v>
      </c>
      <c r="AA188" s="96">
        <f t="shared" si="406"/>
        <v>-131200.63160356152</v>
      </c>
    </row>
    <row r="189" spans="1:27">
      <c r="A189" s="97" t="s">
        <v>32</v>
      </c>
      <c r="B189" s="96"/>
      <c r="C189" s="96">
        <f>-IF(C175&lt;=B158,0,B157*(1+C177)*B156)</f>
        <v>-24651.02709152543</v>
      </c>
      <c r="D189" s="96">
        <f>-IF(D175&lt;=B158,0,B157*(1+D177)*B156)</f>
        <v>-25735.672283552551</v>
      </c>
      <c r="E189" s="96">
        <f>-IF(E175&lt;=B158,0,B157*(1+E177)*B156)</f>
        <v>-26868.041864028866</v>
      </c>
      <c r="F189" s="96">
        <f>-IF(F175&lt;=B158,0,B157*(1+F177)*B156)</f>
        <v>-28050.23570604614</v>
      </c>
      <c r="G189" s="96">
        <f>-IF(G175&lt;=B158,0,B157*(1+G177)*B156)</f>
        <v>-29284.446077112167</v>
      </c>
      <c r="H189" s="96">
        <f>-IF(H175&lt;=B158,0,B157*(1+H177)*B156)</f>
        <v>-30572.961704505105</v>
      </c>
      <c r="I189" s="96">
        <f>-IF(I175&lt;=B158,0,B157*(1+I177)*B156)</f>
        <v>-31918.172019503334</v>
      </c>
      <c r="J189" s="96">
        <f>-IF(J175&lt;=B158,0,B157*(1+J177)*B156)</f>
        <v>-33322.571588361483</v>
      </c>
      <c r="K189" s="96">
        <f>-IF(K175&lt;=B158,0,B157*(1+K177)*B156)</f>
        <v>-34788.764738249389</v>
      </c>
      <c r="L189" s="96">
        <f>-IF(L175&lt;=B158,0,B157*(1+L177)*B156)</f>
        <v>-36319.470386732355</v>
      </c>
      <c r="M189" s="96">
        <f>-IF(M175&lt;=B158,0,B157*(1+M177)*B156)</f>
        <v>-37917.52708374858</v>
      </c>
      <c r="N189" s="96">
        <f>-IF(N175&lt;=B158,0,B157*(1+N177)*B156)</f>
        <v>-39585.898275433523</v>
      </c>
      <c r="O189" s="96">
        <f>-IF(O175&lt;=B158,0,B157*(1+O177)*B156)</f>
        <v>-41327.677799552599</v>
      </c>
      <c r="P189" s="96">
        <f>-IF(P175&lt;=B158,0,B157*(1+P177)*B156)</f>
        <v>-43146.095622732915</v>
      </c>
      <c r="Q189" s="96">
        <f>-IF(Q175&lt;=B158,0,B157*(1+Q177)*B156)</f>
        <v>-45044.52383013317</v>
      </c>
      <c r="R189" s="96">
        <f>-IF(R175&lt;=B158,0,B157*(1+R177)*B156)</f>
        <v>-47026.482878659022</v>
      </c>
      <c r="S189" s="96">
        <f>-IF(S175&lt;=B158,0,B157*(1+S177)*B156)</f>
        <v>-49095.648125320025</v>
      </c>
      <c r="T189" s="96">
        <f>-IF(T175&lt;=B158,0,B157*(1+T177)*B156)</f>
        <v>-51255.856642834107</v>
      </c>
      <c r="U189" s="96">
        <f>-IF(U175&lt;=B158,0,B157*(1+U177)*B156)</f>
        <v>-53511.114335118808</v>
      </c>
      <c r="V189" s="96">
        <f>-IF(V175&lt;=B158,0,B157*(1+V177)*B156)</f>
        <v>-55865.603365864044</v>
      </c>
      <c r="W189" s="96">
        <f>-IF(W175&lt;=B158,0,B157*(1+W177)*B156)</f>
        <v>-58323.689913962065</v>
      </c>
      <c r="X189" s="96">
        <f>-IF(X175&lt;=B158,0,B157*(1+X177)*B156)</f>
        <v>-60889.932270176396</v>
      </c>
      <c r="Y189" s="96">
        <f>-IF(Y175&lt;=B158,0,B157*(1+Y177)*B156)</f>
        <v>-63569.089290064163</v>
      </c>
      <c r="Z189" s="96">
        <f>-IF(Z175&lt;=B158,0,B157*(1+Z177)*B156)</f>
        <v>-66366.129218826987</v>
      </c>
      <c r="AA189" s="96">
        <f>-IF(AA175&lt;=B158,0,B157*(1+AA177)*B156)</f>
        <v>-69286.238904455371</v>
      </c>
    </row>
    <row r="190" spans="1:27">
      <c r="A190" s="97" t="str">
        <f>A160</f>
        <v>Прочие расходы при эксплуатации объекта, руб. без НДС</v>
      </c>
      <c r="B190" s="96"/>
      <c r="C190" s="96">
        <f>-IF(C175&lt;=B161,0,B160*(1+C177)*B156)</f>
        <v>-2216.8189830508477</v>
      </c>
      <c r="D190" s="96">
        <f>-IF(D175&lt;=B161,0,B160*(1+D177)*B156)</f>
        <v>-2314.3590183050851</v>
      </c>
      <c r="E190" s="96">
        <f>-IF(E175&lt;=B161,0,B160*(1+E177)*B156)</f>
        <v>-2416.190815110509</v>
      </c>
      <c r="F190" s="96">
        <f>-IF(F175&lt;=B161,0,B160*(1+F177)*B156)</f>
        <v>-2522.503210975372</v>
      </c>
      <c r="G190" s="96">
        <f>-IF(G175&lt;=B161,0,B160*(1+G177)*B156)</f>
        <v>-2633.4933522582878</v>
      </c>
      <c r="H190" s="96">
        <f>-IF(H175&lt;=B161,0,B160*(1+H177)*B156)</f>
        <v>-2749.3670597576529</v>
      </c>
      <c r="I190" s="96">
        <f>-IF(I175&lt;=B161,0,B160*(1+I177)*B156)</f>
        <v>-2870.3392103869901</v>
      </c>
      <c r="J190" s="96">
        <f>-IF(J175&lt;=B161,0,B160*(1+J177)*B156)</f>
        <v>-2996.6341356440175</v>
      </c>
      <c r="K190" s="96">
        <f>-IF(K175&lt;=B161,0,B160*(1+K177)*B156)</f>
        <v>-3128.4860376123543</v>
      </c>
      <c r="L190" s="96">
        <f>-IF(L175&lt;=B161,0,B160*(1+L177)*B156)</f>
        <v>-3266.1394232672978</v>
      </c>
      <c r="M190" s="96">
        <f>-IF(M175&lt;=B161,0,B160*(1+M177)*B156)</f>
        <v>-3409.8495578910592</v>
      </c>
      <c r="N190" s="96">
        <f>-IF(N175&lt;=B161,0,B160*(1+N177)*B156)</f>
        <v>-3559.8829384382657</v>
      </c>
      <c r="O190" s="96">
        <f>-IF(O175&lt;=B161,0,B160*(1+O177)*B156)</f>
        <v>-3716.51778772955</v>
      </c>
      <c r="P190" s="96">
        <f>-IF(P175&lt;=B161,0,B160*(1+P177)*B156)</f>
        <v>-3880.0445703896498</v>
      </c>
      <c r="Q190" s="96">
        <f>-IF(Q175&lt;=B161,0,B160*(1+Q177)*B156)</f>
        <v>-4050.766531486795</v>
      </c>
      <c r="R190" s="96">
        <f>-IF(R175&lt;=B161,0,B160*(1+R177)*B156)</f>
        <v>-4229.0002588722136</v>
      </c>
      <c r="S190" s="96">
        <f>-IF(S175&lt;=B161,0,B160*(1+S177)*B156)</f>
        <v>-4415.0762702625916</v>
      </c>
      <c r="T190" s="96">
        <f>-IF(T175&lt;=B161,0,B160*(1+T177)*B156)</f>
        <v>-4609.3396261541457</v>
      </c>
      <c r="U190" s="96">
        <f>-IF(U175&lt;=B161,0,B160*(1+U177)*B156)</f>
        <v>-4812.1505697049279</v>
      </c>
      <c r="V190" s="96">
        <f>-IF(V175&lt;=B161,0,B160*(1+V177)*B156)</f>
        <v>-5023.885194771945</v>
      </c>
      <c r="W190" s="96">
        <f>-IF(W175&lt;=B161,0,B160*(1+W177)*B156)</f>
        <v>-5244.9361433419117</v>
      </c>
      <c r="X190" s="96">
        <f>-IF(X175&lt;=B161,0,B160*(1+X177)*B156)</f>
        <v>-5475.713333648956</v>
      </c>
      <c r="Y190" s="96">
        <f>-IF(Y175&lt;=B161,0,B160*(1+Y177)*B156)</f>
        <v>-5716.6447203295102</v>
      </c>
      <c r="Z190" s="96">
        <f>-IF(Z175&lt;=B161,0,B160*(1+Z177)*B156)</f>
        <v>-5968.1770880240083</v>
      </c>
      <c r="AA190" s="96">
        <f>-IF(AA175&lt;=B161,0,B160*(1+AA177)*B156)</f>
        <v>-6230.7768798970646</v>
      </c>
    </row>
    <row r="191" spans="1:27">
      <c r="A191" s="97" t="s">
        <v>290</v>
      </c>
      <c r="B191" s="96"/>
      <c r="C191" s="96"/>
      <c r="D191" s="96"/>
      <c r="E191" s="96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  <c r="Z191" s="96"/>
      <c r="AA191" s="96"/>
    </row>
    <row r="192" spans="1:27">
      <c r="A192" s="97" t="s">
        <v>290</v>
      </c>
      <c r="B192" s="96"/>
      <c r="C192" s="96"/>
      <c r="D192" s="96"/>
      <c r="E192" s="96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  <c r="Z192" s="96"/>
      <c r="AA192" s="96"/>
    </row>
    <row r="193" spans="1:27">
      <c r="A193" s="97" t="s">
        <v>290</v>
      </c>
      <c r="B193" s="96"/>
      <c r="C193" s="96"/>
      <c r="D193" s="96"/>
      <c r="E193" s="96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  <c r="Z193" s="96"/>
      <c r="AA193" s="96"/>
    </row>
    <row r="194" spans="1:27">
      <c r="A194" s="97" t="s">
        <v>33</v>
      </c>
      <c r="B194" s="96"/>
      <c r="C194" s="96">
        <f>-((B153+B154)*B156+(B153+B154)*B156+SUM(B196:C196))/2*2.2%*0</f>
        <v>0</v>
      </c>
      <c r="D194" s="96">
        <f>-((B153+B154)*B156+(B153+B154)*B156+SUM(B196:D196))/2*2.2%*0</f>
        <v>0</v>
      </c>
      <c r="E194" s="96">
        <f>-((B153+B154)*B156+(B153+B154)*B156+SUM(B196:E196))/2*2.2%*0</f>
        <v>0</v>
      </c>
      <c r="F194" s="96">
        <f>-((B153+B154)*B156+(B153+B154)*B156+SUM(B196:F196))/2*2.2%</f>
        <v>-115344.63276836161</v>
      </c>
      <c r="G194" s="96">
        <f>-((B153+B154)*B156+(B153+B154)*B156+SUM(B196:G196))/2*2.2%</f>
        <v>-111367.2316384181</v>
      </c>
      <c r="H194" s="96">
        <f>-((B153+B154)*B156+(B153+B154)*B156+SUM(B196:H196))/2*2.2%</f>
        <v>-107389.83050847461</v>
      </c>
      <c r="I194" s="96">
        <f>-((B153+B154)*B156+(B153+B154)*B156+SUM(B196:I196))/2*2.2%</f>
        <v>-103412.4293785311</v>
      </c>
      <c r="J194" s="96">
        <f>-((B153+B154)*B156+(B153+B154)*B156+SUM(B196:J196))/2*2.2%</f>
        <v>-99435.02824858758</v>
      </c>
      <c r="K194" s="96">
        <f>-((B153+B154)*B156+(B153+B154)*B156+SUM(B196:K196))/2*2.2%</f>
        <v>-95457.627118644086</v>
      </c>
      <c r="L194" s="96">
        <f>-((B153+B154)*B156+(B153+B154)*B156+SUM(B196:L196))/2*2.2%</f>
        <v>-91480.225988700593</v>
      </c>
      <c r="M194" s="96">
        <f>-((B153+B154)*B156+(B153+B154)*B156+SUM(B196:M196))/2*2.2%</f>
        <v>-87502.824858757085</v>
      </c>
      <c r="N194" s="96">
        <f>-((B153+B154)*B156+(B153+B154)*B156+SUM(B196:N196))/2*2.2%</f>
        <v>-83525.423728813592</v>
      </c>
      <c r="O194" s="96">
        <f>-((B153+B154)*B156+(B153+B154)*B156+SUM(B196:O196))/2*2.2%</f>
        <v>-79548.022598870084</v>
      </c>
      <c r="P194" s="96">
        <f>-((B153+B154)*B156+(B153+B154)*B156+SUM(B196:P196))/2*2.2%</f>
        <v>-75570.621468926576</v>
      </c>
      <c r="Q194" s="96">
        <f>-((B153+B154)*B156+(B153+B154)*B156+SUM(B196:Q196))/2*2.2%</f>
        <v>-71593.220338983083</v>
      </c>
      <c r="R194" s="96">
        <f>-((B153+B154)*B156+(B153+B154)*B156+SUM(B196:R196))/2*2.2%</f>
        <v>-67615.819209039575</v>
      </c>
      <c r="S194" s="96">
        <f>-((B153+B154)*B156+(B153+B154)*B156+SUM(B196:S196))/2*2.2%</f>
        <v>-63638.418079096075</v>
      </c>
      <c r="T194" s="96">
        <f>-((B153+B154)*B156+(B153+B154)*B156+SUM(B196:T196))/2*2.2%</f>
        <v>-59661.016949152574</v>
      </c>
      <c r="U194" s="96">
        <f>-((B153+B154)*B156+(B153+B154)*B156+SUM(B196:U196))/2*2.2%</f>
        <v>-55683.615819209073</v>
      </c>
      <c r="V194" s="96">
        <f>-((B153+B154)*B156+(B153+B154)*B156+SUM(B196:V196))/2*2.2%</f>
        <v>-55683.615819209073</v>
      </c>
      <c r="W194" s="96">
        <f>-((B153+B154)*B156+(B153+B154)*B156+SUM(B196:W196))/2*2.2%</f>
        <v>-55683.615819209073</v>
      </c>
      <c r="X194" s="96">
        <f>-((B153+B154)*B156+(B153+B154)*B156+SUM(B196:X196))/2*2.2%</f>
        <v>-55683.615819209073</v>
      </c>
      <c r="Y194" s="96">
        <f>-((B153+B154)*B156+(B153+B154)*B156+SUM(B196:Y196))/2*2.2%</f>
        <v>-55683.615819209073</v>
      </c>
      <c r="Z194" s="96">
        <f>-((B153+B154)*B156+(B153+B154)*B156+SUM(B196:Z196))/2*2.2%</f>
        <v>-55683.615819209073</v>
      </c>
      <c r="AA194" s="96">
        <f>-((B153+B154)*B156+(B153+B154)*B156+SUM(B196:AA196))/2*2.2%</f>
        <v>-55683.615819209073</v>
      </c>
    </row>
    <row r="195" spans="1:27">
      <c r="A195" s="98" t="s">
        <v>114</v>
      </c>
      <c r="B195" s="95"/>
      <c r="C195" s="95">
        <f t="shared" ref="C195:AA195" si="407">C187+C188</f>
        <v>672793.17087457632</v>
      </c>
      <c r="D195" s="95">
        <f t="shared" si="407"/>
        <v>702396.07039305766</v>
      </c>
      <c r="E195" s="95">
        <f t="shared" si="407"/>
        <v>733301.49749035225</v>
      </c>
      <c r="F195" s="95">
        <f t="shared" si="407"/>
        <v>650222.13061156613</v>
      </c>
      <c r="G195" s="95">
        <f t="shared" si="407"/>
        <v>687884.46933022654</v>
      </c>
      <c r="H195" s="95">
        <f t="shared" si="407"/>
        <v>727028.94530279038</v>
      </c>
      <c r="I195" s="95">
        <f t="shared" si="407"/>
        <v>767720.77256842947</v>
      </c>
      <c r="J195" s="95">
        <f t="shared" si="407"/>
        <v>810028.03458403936</v>
      </c>
      <c r="K195" s="95">
        <f t="shared" si="407"/>
        <v>854021.81047861848</v>
      </c>
      <c r="L195" s="95">
        <f t="shared" si="407"/>
        <v>899776.30686284159</v>
      </c>
      <c r="M195" s="95">
        <f t="shared" si="407"/>
        <v>947368.99543825304</v>
      </c>
      <c r="N195" s="95">
        <f t="shared" si="407"/>
        <v>996880.75666126516</v>
      </c>
      <c r="O195" s="95">
        <f t="shared" si="407"/>
        <v>1048396.0297283721</v>
      </c>
      <c r="P195" s="95">
        <f t="shared" si="407"/>
        <v>1102002.9691607142</v>
      </c>
      <c r="Q195" s="95">
        <f t="shared" si="407"/>
        <v>1157793.6082783621</v>
      </c>
      <c r="R195" s="95">
        <f t="shared" si="407"/>
        <v>1215864.0298674686</v>
      </c>
      <c r="S195" s="95">
        <f t="shared" si="407"/>
        <v>1276314.5443567787</v>
      </c>
      <c r="T195" s="95">
        <f t="shared" si="407"/>
        <v>1339249.8758339006</v>
      </c>
      <c r="U195" s="95">
        <f t="shared" si="407"/>
        <v>1404779.3562462986</v>
      </c>
      <c r="V195" s="95">
        <f t="shared" si="407"/>
        <v>1469039.727017181</v>
      </c>
      <c r="W195" s="95">
        <f t="shared" si="407"/>
        <v>1536127.5541019824</v>
      </c>
      <c r="X195" s="95">
        <f t="shared" si="407"/>
        <v>1606167.2455785149</v>
      </c>
      <c r="Y195" s="95">
        <f t="shared" si="407"/>
        <v>1679288.6834800148</v>
      </c>
      <c r="Z195" s="95">
        <f t="shared" si="407"/>
        <v>1755627.4646491806</v>
      </c>
      <c r="AA195" s="95">
        <f t="shared" si="407"/>
        <v>1835325.1521897898</v>
      </c>
    </row>
    <row r="196" spans="1:27">
      <c r="A196" s="97" t="s">
        <v>278</v>
      </c>
      <c r="B196" s="96"/>
      <c r="C196" s="96">
        <f>IF(B153-ABS(SUM(B196:B196))&gt;0,-B153/B155,0)*0</f>
        <v>0</v>
      </c>
      <c r="D196" s="96">
        <f>IF(B153-ABS(SUM(B196:C196))&gt;0,-B153/B155,0)*0</f>
        <v>0</v>
      </c>
      <c r="E196" s="96">
        <f>IF(B153-ABS(SUM(B196:D196))&gt;0,-B153/B155,0)*0</f>
        <v>0</v>
      </c>
      <c r="F196" s="96">
        <f>IF(B153-ABS(SUM(B196:E196))&gt;0,-B153/B155,0)</f>
        <v>-361581.92090395483</v>
      </c>
      <c r="G196" s="96">
        <f>IF(B153-ABS(SUM(B196:F196))&gt;0,-B153/B155,0)</f>
        <v>-361581.92090395483</v>
      </c>
      <c r="H196" s="96">
        <f>IF(B153-ABS(SUM(B196:G196))&gt;0,-B153/B155,0)</f>
        <v>-361581.92090395483</v>
      </c>
      <c r="I196" s="96">
        <f>IF(B153-ABS(SUM(B196:H196))&gt;0,-B153/B155,0)</f>
        <v>-361581.92090395483</v>
      </c>
      <c r="J196" s="96">
        <f>IF(B153-ABS(SUM(B196:I196))&gt;0,-B153/B155,0)</f>
        <v>-361581.92090395483</v>
      </c>
      <c r="K196" s="96">
        <f>IF(B153-ABS(SUM(B196:J196))&gt;0,-B153/B155,0)</f>
        <v>-361581.92090395483</v>
      </c>
      <c r="L196" s="96">
        <f>IF(B153-ABS(SUM(B196:K196))&gt;0,-B153/B155,0)</f>
        <v>-361581.92090395483</v>
      </c>
      <c r="M196" s="96">
        <f>IF(B153-ABS(SUM(B196:L196))&gt;0,-B153/B155,0)</f>
        <v>-361581.92090395483</v>
      </c>
      <c r="N196" s="96">
        <f>IF(B153-ABS(SUM(B196:M196))&gt;0,-B153/B155,0)</f>
        <v>-361581.92090395483</v>
      </c>
      <c r="O196" s="96">
        <f>IF(B153-ABS(SUM(B196:N196))&gt;0,-B153/B155,0)</f>
        <v>-361581.92090395483</v>
      </c>
      <c r="P196" s="96">
        <f>IF(B153-ABS(SUM(B196:O196))&gt;0,-B153/B155,0)</f>
        <v>-361581.92090395483</v>
      </c>
      <c r="Q196" s="96">
        <f>IF(B153-ABS(SUM(B196:P196))&gt;0,-B153/B155,0)</f>
        <v>-361581.92090395483</v>
      </c>
      <c r="R196" s="96">
        <f>IF(B153-ABS(SUM(B196:Q196))&gt;0,-B153/B155,0)</f>
        <v>-361581.92090395483</v>
      </c>
      <c r="S196" s="96">
        <f>IF(B153-ABS(SUM(B196:R196))&gt;0,-B153/B155,0)</f>
        <v>-361581.92090395483</v>
      </c>
      <c r="T196" s="96">
        <f>IF(B153-ABS(SUM(B196:S196))&gt;0,-B153/B155,0)</f>
        <v>-361581.92090395483</v>
      </c>
      <c r="U196" s="96">
        <f>IF(B153-ABS(SUM(B196:T196))&gt;0,-B153/B155,0)</f>
        <v>-361581.92090395483</v>
      </c>
      <c r="V196" s="96">
        <f>IF(B153-ABS(SUM(B196:U196))&gt;0,-B153/B155,0)</f>
        <v>0</v>
      </c>
      <c r="W196" s="96">
        <f>IF(B153-ABS(SUM(B196:V196))&gt;0,-B153/B155,0)</f>
        <v>0</v>
      </c>
      <c r="X196" s="96">
        <f>IF(B153-ABS(SUM(B196:W196))&gt;0,-B153/B155,0)</f>
        <v>0</v>
      </c>
      <c r="Y196" s="96">
        <f>IF(B153-ABS(SUM(B196:X196))&gt;0,-B153/B155,0)</f>
        <v>0</v>
      </c>
      <c r="Z196" s="96">
        <f>IF(B153-ABS(SUM(B196:Y196))&gt;0,-B153/B155,0)</f>
        <v>0</v>
      </c>
      <c r="AA196" s="96">
        <f>IF(B153-ABS(SUM(B196:Z196))&gt;0,-B153/B155,0)</f>
        <v>0</v>
      </c>
    </row>
    <row r="197" spans="1:27">
      <c r="A197" s="98" t="s">
        <v>34</v>
      </c>
      <c r="B197" s="95"/>
      <c r="C197" s="95">
        <f t="shared" ref="C197:AA197" si="408">C195+C196</f>
        <v>672793.17087457632</v>
      </c>
      <c r="D197" s="95">
        <f t="shared" si="408"/>
        <v>702396.07039305766</v>
      </c>
      <c r="E197" s="95">
        <f t="shared" si="408"/>
        <v>733301.49749035225</v>
      </c>
      <c r="F197" s="95">
        <f t="shared" si="408"/>
        <v>288640.2097076113</v>
      </c>
      <c r="G197" s="95">
        <f t="shared" si="408"/>
        <v>326302.54842627171</v>
      </c>
      <c r="H197" s="95">
        <f t="shared" si="408"/>
        <v>365447.02439883555</v>
      </c>
      <c r="I197" s="95">
        <f t="shared" si="408"/>
        <v>406138.85166447464</v>
      </c>
      <c r="J197" s="95">
        <f t="shared" si="408"/>
        <v>448446.11368008453</v>
      </c>
      <c r="K197" s="95">
        <f t="shared" si="408"/>
        <v>492439.88957466366</v>
      </c>
      <c r="L197" s="95">
        <f t="shared" si="408"/>
        <v>538194.38595888671</v>
      </c>
      <c r="M197" s="95">
        <f t="shared" si="408"/>
        <v>585787.07453429815</v>
      </c>
      <c r="N197" s="95">
        <f t="shared" si="408"/>
        <v>635298.83575731027</v>
      </c>
      <c r="O197" s="95">
        <f t="shared" si="408"/>
        <v>686814.10882441723</v>
      </c>
      <c r="P197" s="95">
        <f t="shared" si="408"/>
        <v>740421.0482567593</v>
      </c>
      <c r="Q197" s="95">
        <f t="shared" si="408"/>
        <v>796211.68737440719</v>
      </c>
      <c r="R197" s="95">
        <f t="shared" si="408"/>
        <v>854282.10896351375</v>
      </c>
      <c r="S197" s="95">
        <f t="shared" si="408"/>
        <v>914732.62345282384</v>
      </c>
      <c r="T197" s="95">
        <f t="shared" si="408"/>
        <v>977667.95492994576</v>
      </c>
      <c r="U197" s="95">
        <f t="shared" si="408"/>
        <v>1043197.4353423438</v>
      </c>
      <c r="V197" s="95">
        <f t="shared" si="408"/>
        <v>1469039.727017181</v>
      </c>
      <c r="W197" s="95">
        <f t="shared" si="408"/>
        <v>1536127.5541019824</v>
      </c>
      <c r="X197" s="95">
        <f t="shared" si="408"/>
        <v>1606167.2455785149</v>
      </c>
      <c r="Y197" s="95">
        <f t="shared" si="408"/>
        <v>1679288.6834800148</v>
      </c>
      <c r="Z197" s="95">
        <f t="shared" si="408"/>
        <v>1755627.4646491806</v>
      </c>
      <c r="AA197" s="95">
        <f t="shared" si="408"/>
        <v>1835325.1521897898</v>
      </c>
    </row>
    <row r="198" spans="1:27">
      <c r="A198" s="97" t="s">
        <v>62</v>
      </c>
      <c r="B198" s="96">
        <f t="shared" ref="B198:AA198" si="409">-B184</f>
        <v>0</v>
      </c>
      <c r="C198" s="96">
        <f t="shared" si="409"/>
        <v>0</v>
      </c>
      <c r="D198" s="96">
        <f t="shared" si="409"/>
        <v>0</v>
      </c>
      <c r="E198" s="96">
        <f t="shared" si="409"/>
        <v>0</v>
      </c>
      <c r="F198" s="96">
        <f t="shared" si="409"/>
        <v>0</v>
      </c>
      <c r="G198" s="96">
        <f t="shared" si="409"/>
        <v>0</v>
      </c>
      <c r="H198" s="96">
        <f t="shared" si="409"/>
        <v>0</v>
      </c>
      <c r="I198" s="96">
        <f t="shared" si="409"/>
        <v>0</v>
      </c>
      <c r="J198" s="96">
        <f t="shared" si="409"/>
        <v>0</v>
      </c>
      <c r="K198" s="96">
        <f t="shared" si="409"/>
        <v>0</v>
      </c>
      <c r="L198" s="96">
        <f t="shared" si="409"/>
        <v>0</v>
      </c>
      <c r="M198" s="96">
        <f t="shared" si="409"/>
        <v>0</v>
      </c>
      <c r="N198" s="96">
        <f t="shared" si="409"/>
        <v>0</v>
      </c>
      <c r="O198" s="96">
        <f t="shared" si="409"/>
        <v>0</v>
      </c>
      <c r="P198" s="96">
        <f t="shared" si="409"/>
        <v>0</v>
      </c>
      <c r="Q198" s="96">
        <f t="shared" si="409"/>
        <v>0</v>
      </c>
      <c r="R198" s="96">
        <f t="shared" si="409"/>
        <v>0</v>
      </c>
      <c r="S198" s="96">
        <f t="shared" si="409"/>
        <v>0</v>
      </c>
      <c r="T198" s="96">
        <f t="shared" si="409"/>
        <v>0</v>
      </c>
      <c r="U198" s="96">
        <f t="shared" si="409"/>
        <v>0</v>
      </c>
      <c r="V198" s="96">
        <f t="shared" si="409"/>
        <v>0</v>
      </c>
      <c r="W198" s="96">
        <f t="shared" si="409"/>
        <v>0</v>
      </c>
      <c r="X198" s="96">
        <f t="shared" si="409"/>
        <v>0</v>
      </c>
      <c r="Y198" s="96">
        <f t="shared" si="409"/>
        <v>0</v>
      </c>
      <c r="Z198" s="96">
        <f t="shared" si="409"/>
        <v>0</v>
      </c>
      <c r="AA198" s="96">
        <f t="shared" si="409"/>
        <v>0</v>
      </c>
    </row>
    <row r="199" spans="1:27">
      <c r="A199" s="98" t="s">
        <v>35</v>
      </c>
      <c r="B199" s="95"/>
      <c r="C199" s="95">
        <f t="shared" ref="C199:AA199" si="410">C197+C198</f>
        <v>672793.17087457632</v>
      </c>
      <c r="D199" s="95">
        <f t="shared" si="410"/>
        <v>702396.07039305766</v>
      </c>
      <c r="E199" s="95">
        <f t="shared" si="410"/>
        <v>733301.49749035225</v>
      </c>
      <c r="F199" s="95">
        <f t="shared" si="410"/>
        <v>288640.2097076113</v>
      </c>
      <c r="G199" s="95">
        <f t="shared" si="410"/>
        <v>326302.54842627171</v>
      </c>
      <c r="H199" s="95">
        <f t="shared" si="410"/>
        <v>365447.02439883555</v>
      </c>
      <c r="I199" s="95">
        <f t="shared" si="410"/>
        <v>406138.85166447464</v>
      </c>
      <c r="J199" s="95">
        <f t="shared" si="410"/>
        <v>448446.11368008453</v>
      </c>
      <c r="K199" s="95">
        <f t="shared" si="410"/>
        <v>492439.88957466366</v>
      </c>
      <c r="L199" s="95">
        <f t="shared" si="410"/>
        <v>538194.38595888671</v>
      </c>
      <c r="M199" s="95">
        <f t="shared" si="410"/>
        <v>585787.07453429815</v>
      </c>
      <c r="N199" s="95">
        <f t="shared" si="410"/>
        <v>635298.83575731027</v>
      </c>
      <c r="O199" s="95">
        <f t="shared" si="410"/>
        <v>686814.10882441723</v>
      </c>
      <c r="P199" s="95">
        <f t="shared" si="410"/>
        <v>740421.0482567593</v>
      </c>
      <c r="Q199" s="95">
        <f t="shared" si="410"/>
        <v>796211.68737440719</v>
      </c>
      <c r="R199" s="95">
        <f t="shared" si="410"/>
        <v>854282.10896351375</v>
      </c>
      <c r="S199" s="95">
        <f t="shared" si="410"/>
        <v>914732.62345282384</v>
      </c>
      <c r="T199" s="95">
        <f t="shared" si="410"/>
        <v>977667.95492994576</v>
      </c>
      <c r="U199" s="95">
        <f t="shared" si="410"/>
        <v>1043197.4353423438</v>
      </c>
      <c r="V199" s="95">
        <f t="shared" si="410"/>
        <v>1469039.727017181</v>
      </c>
      <c r="W199" s="95">
        <f t="shared" si="410"/>
        <v>1536127.5541019824</v>
      </c>
      <c r="X199" s="95">
        <f t="shared" si="410"/>
        <v>1606167.2455785149</v>
      </c>
      <c r="Y199" s="95">
        <f t="shared" si="410"/>
        <v>1679288.6834800148</v>
      </c>
      <c r="Z199" s="95">
        <f t="shared" si="410"/>
        <v>1755627.4646491806</v>
      </c>
      <c r="AA199" s="95">
        <f t="shared" si="410"/>
        <v>1835325.1521897898</v>
      </c>
    </row>
    <row r="200" spans="1:27">
      <c r="A200" s="97" t="s">
        <v>100</v>
      </c>
      <c r="B200" s="96"/>
      <c r="C200" s="96">
        <f>-C199*B164</f>
        <v>-134558.63417491526</v>
      </c>
      <c r="D200" s="96">
        <f>-D199*B164</f>
        <v>-140479.21407861155</v>
      </c>
      <c r="E200" s="96">
        <f>-E199*B164</f>
        <v>-146660.29949807047</v>
      </c>
      <c r="F200" s="96">
        <f>-F199*B164</f>
        <v>-57728.041941522264</v>
      </c>
      <c r="G200" s="96">
        <f>-G199*B164</f>
        <v>-65260.509685254343</v>
      </c>
      <c r="H200" s="96">
        <f>-H199*B164</f>
        <v>-73089.404879767113</v>
      </c>
      <c r="I200" s="96">
        <f>-I199*B164</f>
        <v>-81227.770332894928</v>
      </c>
      <c r="J200" s="96">
        <f>-J199*B164</f>
        <v>-89689.222736016905</v>
      </c>
      <c r="K200" s="96">
        <f>-K199*B164</f>
        <v>-98487.977914932737</v>
      </c>
      <c r="L200" s="96">
        <f>-L199*B164</f>
        <v>-107638.87719177734</v>
      </c>
      <c r="M200" s="96">
        <f>-M199*B164</f>
        <v>-117157.41490685963</v>
      </c>
      <c r="N200" s="96">
        <f>-N199*B164</f>
        <v>-127059.76715146206</v>
      </c>
      <c r="O200" s="96">
        <f>-O199*B164</f>
        <v>-137362.82176488344</v>
      </c>
      <c r="P200" s="96">
        <f>-P199*B164</f>
        <v>-148084.20965135188</v>
      </c>
      <c r="Q200" s="96">
        <f>-Q199*B164</f>
        <v>-159242.33747488144</v>
      </c>
      <c r="R200" s="96">
        <f>-R199*B164</f>
        <v>-170856.42179270275</v>
      </c>
      <c r="S200" s="96">
        <f>-S199*B164</f>
        <v>-182946.52469056478</v>
      </c>
      <c r="T200" s="96">
        <f>-T199*B164</f>
        <v>-195533.59098598917</v>
      </c>
      <c r="U200" s="96">
        <f>-U199*B164</f>
        <v>-208639.48706846876</v>
      </c>
      <c r="V200" s="96">
        <f>-V199*B164</f>
        <v>-293807.9454034362</v>
      </c>
      <c r="W200" s="96">
        <f>-W199*B164</f>
        <v>-307225.51082039648</v>
      </c>
      <c r="X200" s="96">
        <f>-X199*B164</f>
        <v>-321233.449115703</v>
      </c>
      <c r="Y200" s="96">
        <f>-Y199*B164</f>
        <v>-335857.736696003</v>
      </c>
      <c r="Z200" s="96">
        <f>-Z199*B164</f>
        <v>-351125.49292983615</v>
      </c>
      <c r="AA200" s="96">
        <f>-AA199*B164</f>
        <v>-367065.03043795796</v>
      </c>
    </row>
    <row r="201" spans="1:27" ht="16.5" thickBot="1">
      <c r="A201" s="99" t="s">
        <v>36</v>
      </c>
      <c r="B201" s="100"/>
      <c r="C201" s="100">
        <f t="shared" ref="C201:AA201" si="411">C199+C200</f>
        <v>538234.53669966105</v>
      </c>
      <c r="D201" s="100">
        <f t="shared" si="411"/>
        <v>561916.85631444608</v>
      </c>
      <c r="E201" s="100">
        <f t="shared" si="411"/>
        <v>586641.19799228176</v>
      </c>
      <c r="F201" s="100">
        <f t="shared" si="411"/>
        <v>230912.16776608903</v>
      </c>
      <c r="G201" s="100">
        <f t="shared" si="411"/>
        <v>261042.03874101737</v>
      </c>
      <c r="H201" s="100">
        <f t="shared" si="411"/>
        <v>292357.61951906845</v>
      </c>
      <c r="I201" s="100">
        <f t="shared" si="411"/>
        <v>324911.08133157971</v>
      </c>
      <c r="J201" s="100">
        <f t="shared" si="411"/>
        <v>358756.89094406762</v>
      </c>
      <c r="K201" s="100">
        <f t="shared" si="411"/>
        <v>393951.91165973095</v>
      </c>
      <c r="L201" s="100">
        <f t="shared" si="411"/>
        <v>430555.50876710936</v>
      </c>
      <c r="M201" s="100">
        <f t="shared" si="411"/>
        <v>468629.65962743852</v>
      </c>
      <c r="N201" s="100">
        <f t="shared" si="411"/>
        <v>508239.06860584824</v>
      </c>
      <c r="O201" s="100">
        <f t="shared" si="411"/>
        <v>549451.28705953376</v>
      </c>
      <c r="P201" s="100">
        <f t="shared" si="411"/>
        <v>592336.83860540739</v>
      </c>
      <c r="Q201" s="100">
        <f t="shared" si="411"/>
        <v>636969.34989952575</v>
      </c>
      <c r="R201" s="100">
        <f t="shared" si="411"/>
        <v>683425.687170811</v>
      </c>
      <c r="S201" s="100">
        <f t="shared" si="411"/>
        <v>731786.09876225912</v>
      </c>
      <c r="T201" s="100">
        <f t="shared" si="411"/>
        <v>782134.36394395656</v>
      </c>
      <c r="U201" s="100">
        <f t="shared" si="411"/>
        <v>834557.94827387505</v>
      </c>
      <c r="V201" s="100">
        <f t="shared" si="411"/>
        <v>1175231.7816137448</v>
      </c>
      <c r="W201" s="100">
        <f t="shared" si="411"/>
        <v>1228902.0432815859</v>
      </c>
      <c r="X201" s="100">
        <f t="shared" si="411"/>
        <v>1284933.796462812</v>
      </c>
      <c r="Y201" s="100">
        <f t="shared" si="411"/>
        <v>1343430.9467840118</v>
      </c>
      <c r="Z201" s="100">
        <f t="shared" si="411"/>
        <v>1404501.9717193446</v>
      </c>
      <c r="AA201" s="100">
        <f t="shared" si="411"/>
        <v>1468260.1217518318</v>
      </c>
    </row>
    <row r="202" spans="1:27" s="487" customFormat="1" ht="16.5" thickBot="1">
      <c r="A202" s="485"/>
      <c r="B202" s="486"/>
      <c r="C202" s="486">
        <v>1</v>
      </c>
      <c r="D202" s="486">
        <f t="shared" ref="D202" si="412">+C202+1</f>
        <v>2</v>
      </c>
      <c r="E202" s="486">
        <f t="shared" ref="E202" si="413">+D202+1</f>
        <v>3</v>
      </c>
      <c r="F202" s="486">
        <f t="shared" ref="F202" si="414">+E202+1</f>
        <v>4</v>
      </c>
      <c r="G202" s="486">
        <f t="shared" ref="G202" si="415">+F202+1</f>
        <v>5</v>
      </c>
      <c r="H202" s="486">
        <f t="shared" ref="H202" si="416">+G202+1</f>
        <v>6</v>
      </c>
      <c r="I202" s="486">
        <f t="shared" ref="I202" si="417">+H202+1</f>
        <v>7</v>
      </c>
      <c r="J202" s="486">
        <f t="shared" ref="J202" si="418">+I202+1</f>
        <v>8</v>
      </c>
      <c r="K202" s="486">
        <f t="shared" ref="K202" si="419">+J202+1</f>
        <v>9</v>
      </c>
      <c r="L202" s="486">
        <f t="shared" ref="L202" si="420">+K202+1</f>
        <v>10</v>
      </c>
      <c r="M202" s="486">
        <f t="shared" ref="M202" si="421">+L202+1</f>
        <v>11</v>
      </c>
      <c r="N202" s="486">
        <f t="shared" ref="N202" si="422">+M202+1</f>
        <v>12</v>
      </c>
      <c r="O202" s="486">
        <f>+N202+1</f>
        <v>13</v>
      </c>
      <c r="P202" s="486">
        <f>+O202+1</f>
        <v>14</v>
      </c>
      <c r="Q202" s="486">
        <f>+P202+1</f>
        <v>15</v>
      </c>
      <c r="R202" s="486">
        <f t="shared" ref="R202" si="423">+Q202+1</f>
        <v>16</v>
      </c>
      <c r="S202" s="486">
        <f t="shared" ref="S202" si="424">+R202+1</f>
        <v>17</v>
      </c>
      <c r="T202" s="486">
        <f t="shared" ref="T202" si="425">+S202+1</f>
        <v>18</v>
      </c>
      <c r="U202" s="486">
        <f t="shared" ref="U202" si="426">+T202+1</f>
        <v>19</v>
      </c>
      <c r="V202" s="486">
        <f t="shared" ref="V202" si="427">+U202+1</f>
        <v>20</v>
      </c>
      <c r="W202" s="486">
        <f t="shared" ref="W202" si="428">+V202+1</f>
        <v>21</v>
      </c>
      <c r="X202" s="486">
        <f t="shared" ref="X202" si="429">+W202+1</f>
        <v>22</v>
      </c>
      <c r="Y202" s="486">
        <f t="shared" ref="Y202" si="430">+X202+1</f>
        <v>23</v>
      </c>
      <c r="Z202" s="486">
        <f t="shared" ref="Z202" si="431">+Y202+1</f>
        <v>24</v>
      </c>
      <c r="AA202" s="486">
        <f t="shared" ref="AA202" si="432">+Z202+1</f>
        <v>25</v>
      </c>
    </row>
    <row r="203" spans="1:27" ht="47.25">
      <c r="A203" s="88" t="s">
        <v>37</v>
      </c>
      <c r="B203" s="78" t="str">
        <f>B186</f>
        <v>год окончания 
строительства объекта 2016</v>
      </c>
      <c r="C203" s="79">
        <f>C186</f>
        <v>2017</v>
      </c>
      <c r="D203" s="80">
        <f t="shared" ref="D203" si="433">C203+1</f>
        <v>2018</v>
      </c>
      <c r="E203" s="80">
        <f t="shared" ref="E203" si="434">D203+1</f>
        <v>2019</v>
      </c>
      <c r="F203" s="80">
        <f t="shared" ref="F203" si="435">E203+1</f>
        <v>2020</v>
      </c>
      <c r="G203" s="80">
        <f t="shared" ref="G203" si="436">F203+1</f>
        <v>2021</v>
      </c>
      <c r="H203" s="80">
        <f t="shared" ref="H203" si="437">G203+1</f>
        <v>2022</v>
      </c>
      <c r="I203" s="80">
        <f t="shared" ref="I203" si="438">H203+1</f>
        <v>2023</v>
      </c>
      <c r="J203" s="80">
        <f t="shared" ref="J203" si="439">I203+1</f>
        <v>2024</v>
      </c>
      <c r="K203" s="80">
        <f t="shared" ref="K203" si="440">J203+1</f>
        <v>2025</v>
      </c>
      <c r="L203" s="80">
        <f t="shared" ref="L203" si="441">K203+1</f>
        <v>2026</v>
      </c>
      <c r="M203" s="80">
        <f t="shared" ref="M203" si="442">L203+1</f>
        <v>2027</v>
      </c>
      <c r="N203" s="80">
        <f t="shared" ref="N203" si="443">M203+1</f>
        <v>2028</v>
      </c>
      <c r="O203" s="80">
        <f t="shared" ref="O203" si="444">N203+1</f>
        <v>2029</v>
      </c>
      <c r="P203" s="80">
        <f t="shared" ref="P203" si="445">O203+1</f>
        <v>2030</v>
      </c>
      <c r="Q203" s="80">
        <f t="shared" ref="Q203" si="446">P203+1</f>
        <v>2031</v>
      </c>
      <c r="R203" s="80">
        <f t="shared" ref="R203" si="447">Q203+1</f>
        <v>2032</v>
      </c>
      <c r="S203" s="80">
        <f t="shared" ref="S203" si="448">R203+1</f>
        <v>2033</v>
      </c>
      <c r="T203" s="80">
        <f t="shared" ref="T203" si="449">S203+1</f>
        <v>2034</v>
      </c>
      <c r="U203" s="80">
        <f t="shared" ref="U203" si="450">T203+1</f>
        <v>2035</v>
      </c>
      <c r="V203" s="80">
        <f t="shared" ref="V203" si="451">U203+1</f>
        <v>2036</v>
      </c>
      <c r="W203" s="80">
        <f t="shared" ref="W203" si="452">V203+1</f>
        <v>2037</v>
      </c>
      <c r="X203" s="80">
        <f t="shared" ref="X203" si="453">W203+1</f>
        <v>2038</v>
      </c>
      <c r="Y203" s="80">
        <f t="shared" ref="Y203" si="454">X203+1</f>
        <v>2039</v>
      </c>
      <c r="Z203" s="80">
        <f t="shared" ref="Z203" si="455">Y203+1</f>
        <v>2040</v>
      </c>
      <c r="AA203" s="80">
        <f t="shared" ref="AA203" si="456">Z203+1</f>
        <v>2041</v>
      </c>
    </row>
    <row r="204" spans="1:27">
      <c r="A204" s="94" t="s">
        <v>34</v>
      </c>
      <c r="B204" s="95">
        <f t="shared" ref="B204" si="457">B197</f>
        <v>0</v>
      </c>
      <c r="C204" s="95">
        <f>C197</f>
        <v>672793.17087457632</v>
      </c>
      <c r="D204" s="95">
        <f t="shared" ref="D204:AA204" si="458">D197</f>
        <v>702396.07039305766</v>
      </c>
      <c r="E204" s="95">
        <f t="shared" si="458"/>
        <v>733301.49749035225</v>
      </c>
      <c r="F204" s="95">
        <f t="shared" si="458"/>
        <v>288640.2097076113</v>
      </c>
      <c r="G204" s="95">
        <f t="shared" si="458"/>
        <v>326302.54842627171</v>
      </c>
      <c r="H204" s="95">
        <f t="shared" si="458"/>
        <v>365447.02439883555</v>
      </c>
      <c r="I204" s="95">
        <f t="shared" si="458"/>
        <v>406138.85166447464</v>
      </c>
      <c r="J204" s="95">
        <f t="shared" si="458"/>
        <v>448446.11368008453</v>
      </c>
      <c r="K204" s="95">
        <f t="shared" si="458"/>
        <v>492439.88957466366</v>
      </c>
      <c r="L204" s="95">
        <f t="shared" si="458"/>
        <v>538194.38595888671</v>
      </c>
      <c r="M204" s="95">
        <f t="shared" si="458"/>
        <v>585787.07453429815</v>
      </c>
      <c r="N204" s="95">
        <f t="shared" si="458"/>
        <v>635298.83575731027</v>
      </c>
      <c r="O204" s="95">
        <f t="shared" si="458"/>
        <v>686814.10882441723</v>
      </c>
      <c r="P204" s="95">
        <f t="shared" si="458"/>
        <v>740421.0482567593</v>
      </c>
      <c r="Q204" s="95">
        <f t="shared" si="458"/>
        <v>796211.68737440719</v>
      </c>
      <c r="R204" s="95">
        <f t="shared" si="458"/>
        <v>854282.10896351375</v>
      </c>
      <c r="S204" s="95">
        <f t="shared" si="458"/>
        <v>914732.62345282384</v>
      </c>
      <c r="T204" s="95">
        <f t="shared" si="458"/>
        <v>977667.95492994576</v>
      </c>
      <c r="U204" s="95">
        <f t="shared" si="458"/>
        <v>1043197.4353423438</v>
      </c>
      <c r="V204" s="95">
        <f t="shared" si="458"/>
        <v>1469039.727017181</v>
      </c>
      <c r="W204" s="95">
        <f t="shared" si="458"/>
        <v>1536127.5541019824</v>
      </c>
      <c r="X204" s="95">
        <f t="shared" si="458"/>
        <v>1606167.2455785149</v>
      </c>
      <c r="Y204" s="95">
        <f t="shared" si="458"/>
        <v>1679288.6834800148</v>
      </c>
      <c r="Z204" s="95">
        <f t="shared" si="458"/>
        <v>1755627.4646491806</v>
      </c>
      <c r="AA204" s="95">
        <f t="shared" si="458"/>
        <v>1835325.1521897898</v>
      </c>
    </row>
    <row r="205" spans="1:27">
      <c r="A205" s="97" t="s">
        <v>278</v>
      </c>
      <c r="B205" s="96">
        <f t="shared" ref="B205" si="459">-B196</f>
        <v>0</v>
      </c>
      <c r="C205" s="96">
        <f>-C196</f>
        <v>0</v>
      </c>
      <c r="D205" s="96">
        <f t="shared" ref="D205:AA205" si="460">-D196</f>
        <v>0</v>
      </c>
      <c r="E205" s="96">
        <f t="shared" si="460"/>
        <v>0</v>
      </c>
      <c r="F205" s="96">
        <f t="shared" si="460"/>
        <v>361581.92090395483</v>
      </c>
      <c r="G205" s="96">
        <f t="shared" si="460"/>
        <v>361581.92090395483</v>
      </c>
      <c r="H205" s="96">
        <f t="shared" si="460"/>
        <v>361581.92090395483</v>
      </c>
      <c r="I205" s="96">
        <f t="shared" si="460"/>
        <v>361581.92090395483</v>
      </c>
      <c r="J205" s="96">
        <f t="shared" si="460"/>
        <v>361581.92090395483</v>
      </c>
      <c r="K205" s="96">
        <f t="shared" si="460"/>
        <v>361581.92090395483</v>
      </c>
      <c r="L205" s="96">
        <f t="shared" si="460"/>
        <v>361581.92090395483</v>
      </c>
      <c r="M205" s="96">
        <f t="shared" si="460"/>
        <v>361581.92090395483</v>
      </c>
      <c r="N205" s="96">
        <f t="shared" si="460"/>
        <v>361581.92090395483</v>
      </c>
      <c r="O205" s="96">
        <f t="shared" si="460"/>
        <v>361581.92090395483</v>
      </c>
      <c r="P205" s="96">
        <f t="shared" si="460"/>
        <v>361581.92090395483</v>
      </c>
      <c r="Q205" s="96">
        <f t="shared" si="460"/>
        <v>361581.92090395483</v>
      </c>
      <c r="R205" s="96">
        <f t="shared" si="460"/>
        <v>361581.92090395483</v>
      </c>
      <c r="S205" s="96">
        <f t="shared" si="460"/>
        <v>361581.92090395483</v>
      </c>
      <c r="T205" s="96">
        <f t="shared" si="460"/>
        <v>361581.92090395483</v>
      </c>
      <c r="U205" s="96">
        <f t="shared" si="460"/>
        <v>361581.92090395483</v>
      </c>
      <c r="V205" s="96">
        <f t="shared" si="460"/>
        <v>0</v>
      </c>
      <c r="W205" s="96">
        <f t="shared" si="460"/>
        <v>0</v>
      </c>
      <c r="X205" s="96">
        <f t="shared" si="460"/>
        <v>0</v>
      </c>
      <c r="Y205" s="96">
        <f t="shared" si="460"/>
        <v>0</v>
      </c>
      <c r="Z205" s="96">
        <f t="shared" si="460"/>
        <v>0</v>
      </c>
      <c r="AA205" s="96">
        <f t="shared" si="460"/>
        <v>0</v>
      </c>
    </row>
    <row r="206" spans="1:27">
      <c r="A206" s="97" t="s">
        <v>62</v>
      </c>
      <c r="B206" s="96">
        <f t="shared" ref="B206:AA206" si="461">B198</f>
        <v>0</v>
      </c>
      <c r="C206" s="96">
        <f t="shared" si="461"/>
        <v>0</v>
      </c>
      <c r="D206" s="96">
        <f t="shared" si="461"/>
        <v>0</v>
      </c>
      <c r="E206" s="96">
        <f t="shared" si="461"/>
        <v>0</v>
      </c>
      <c r="F206" s="96">
        <f t="shared" si="461"/>
        <v>0</v>
      </c>
      <c r="G206" s="96">
        <f t="shared" si="461"/>
        <v>0</v>
      </c>
      <c r="H206" s="96">
        <f t="shared" si="461"/>
        <v>0</v>
      </c>
      <c r="I206" s="96">
        <f t="shared" si="461"/>
        <v>0</v>
      </c>
      <c r="J206" s="96">
        <f t="shared" si="461"/>
        <v>0</v>
      </c>
      <c r="K206" s="96">
        <f t="shared" si="461"/>
        <v>0</v>
      </c>
      <c r="L206" s="96">
        <f t="shared" si="461"/>
        <v>0</v>
      </c>
      <c r="M206" s="96">
        <f t="shared" si="461"/>
        <v>0</v>
      </c>
      <c r="N206" s="96">
        <f t="shared" si="461"/>
        <v>0</v>
      </c>
      <c r="O206" s="96">
        <f t="shared" si="461"/>
        <v>0</v>
      </c>
      <c r="P206" s="96">
        <f t="shared" si="461"/>
        <v>0</v>
      </c>
      <c r="Q206" s="96">
        <f t="shared" si="461"/>
        <v>0</v>
      </c>
      <c r="R206" s="96">
        <f t="shared" si="461"/>
        <v>0</v>
      </c>
      <c r="S206" s="96">
        <f t="shared" si="461"/>
        <v>0</v>
      </c>
      <c r="T206" s="96">
        <f t="shared" si="461"/>
        <v>0</v>
      </c>
      <c r="U206" s="96">
        <f t="shared" si="461"/>
        <v>0</v>
      </c>
      <c r="V206" s="96">
        <f t="shared" si="461"/>
        <v>0</v>
      </c>
      <c r="W206" s="96">
        <f t="shared" si="461"/>
        <v>0</v>
      </c>
      <c r="X206" s="96">
        <f t="shared" si="461"/>
        <v>0</v>
      </c>
      <c r="Y206" s="96">
        <f t="shared" si="461"/>
        <v>0</v>
      </c>
      <c r="Z206" s="96">
        <f t="shared" si="461"/>
        <v>0</v>
      </c>
      <c r="AA206" s="96">
        <f t="shared" si="461"/>
        <v>0</v>
      </c>
    </row>
    <row r="207" spans="1:27">
      <c r="A207" s="97" t="s">
        <v>100</v>
      </c>
      <c r="B207" s="96">
        <f>IF(SUM(B200:B200)+SUM(A207:A207)&gt;0,0,SUM(B200:B200)-SUM(A207:A207))</f>
        <v>0</v>
      </c>
      <c r="C207" s="96">
        <f>IF(SUM(B200:C200)+SUM(A207:B207)&gt;0,0,SUM(B200:C200)-SUM(A207:B207))</f>
        <v>-134558.63417491526</v>
      </c>
      <c r="D207" s="96">
        <f>IF(SUM(B200:D200)+SUM(A207:C207)&gt;0,0,SUM(B200:D200)-SUM(A207:C207))</f>
        <v>-140479.21407861158</v>
      </c>
      <c r="E207" s="96">
        <f>IF(SUM(B200:E200)+SUM(A207:D207)&gt;0,0,SUM(B200:E200)-SUM(A207:D207))</f>
        <v>-146660.2994980705</v>
      </c>
      <c r="F207" s="96">
        <f>IF(SUM(B200:F200)+SUM(A207:E207)&gt;0,0,SUM(B200:F200)-SUM(A207:E207))</f>
        <v>-57728.041941522271</v>
      </c>
      <c r="G207" s="96">
        <f>IF(SUM(B200:G200)+SUM(A207:F207)&gt;0,0,SUM(B200:G200)-SUM(A207:F207))</f>
        <v>-65260.509685254307</v>
      </c>
      <c r="H207" s="96">
        <f>IF(SUM(B200:H200)+SUM(A207:G207)&gt;0,0,SUM(B200:H200)-SUM(A207:G207))</f>
        <v>-73089.404879767098</v>
      </c>
      <c r="I207" s="96">
        <f>IF(SUM(B200:I200)+SUM(A207:H207)&gt;0,0,SUM(B200:I200)-SUM(A207:H207))</f>
        <v>-81227.770332894986</v>
      </c>
      <c r="J207" s="96">
        <f>IF(SUM(B200:J200)+SUM(A207:I207)&gt;0,0,SUM(B200:J200)-SUM(A207:I207))</f>
        <v>-89689.222736016847</v>
      </c>
      <c r="K207" s="96">
        <f>IF(SUM(B200:K200)+SUM(A207:J207)&gt;0,0,SUM(B200:K200)-SUM(A207:J207))</f>
        <v>-98487.977914932766</v>
      </c>
      <c r="L207" s="96">
        <f>IF(SUM(B200:L200)+SUM(A207:K207)&gt;0,0,SUM(B200:L200)-SUM(A207:K207))</f>
        <v>-107638.87719177734</v>
      </c>
      <c r="M207" s="96">
        <f>IF(SUM(B200:M200)+SUM(A207:L207)&gt;0,0,SUM(B200:M200)-SUM(A207:L207))</f>
        <v>-117157.41490685951</v>
      </c>
      <c r="N207" s="96">
        <f>IF(SUM(B200:N200)+SUM(A207:M207)&gt;0,0,SUM(B200:N200)-SUM(A207:M207))</f>
        <v>-127059.76715146215</v>
      </c>
      <c r="O207" s="96">
        <f>IF(SUM(B200:O200)+SUM(A207:N207)&gt;0,0,SUM(B200:O200)-SUM(A207:N207))</f>
        <v>-137362.82176488335</v>
      </c>
      <c r="P207" s="96">
        <f>IF(SUM(B200:P200)+SUM(A207:O207)&gt;0,0,SUM(B200:P200)-SUM(A207:O207))</f>
        <v>-148084.20965135191</v>
      </c>
      <c r="Q207" s="96">
        <f>IF(SUM(B200:Q200)+SUM(A207:P207)&gt;0,0,SUM(B200:Q200)-SUM(A207:P207))</f>
        <v>-159242.33747488144</v>
      </c>
      <c r="R207" s="96">
        <f>IF(SUM(B200:R200)+SUM(A207:Q207)&gt;0,0,SUM(B200:R200)-SUM(A207:Q207))</f>
        <v>-170856.42179270275</v>
      </c>
      <c r="S207" s="96">
        <f>IF(SUM(B200:S200)+SUM(A207:R207)&gt;0,0,SUM(B200:S200)-SUM(A207:R207))</f>
        <v>-182946.52469056472</v>
      </c>
      <c r="T207" s="96">
        <f>IF(SUM(B200:T200)+SUM(A207:S207)&gt;0,0,SUM(B200:T200)-SUM(A207:S207))</f>
        <v>-195533.59098598897</v>
      </c>
      <c r="U207" s="96">
        <f>IF(SUM(B200:U200)+SUM(A207:T207)&gt;0,0,SUM(B200:U200)-SUM(A207:T207))</f>
        <v>-208639.4870684687</v>
      </c>
      <c r="V207" s="96">
        <f>IF(SUM(B200:V200)+SUM(A207:U207)&gt;0,0,SUM(B200:V200)-SUM(A207:U207))</f>
        <v>-293807.9454034362</v>
      </c>
      <c r="W207" s="96">
        <f>IF(SUM(B200:W200)+SUM(A207:V207)&gt;0,0,SUM(B200:W200)-SUM(A207:V207))</f>
        <v>-307225.51082039671</v>
      </c>
      <c r="X207" s="96">
        <f>IF(SUM(B200:X200)+SUM(A207:W207)&gt;0,0,SUM(B200:X200)-SUM(A207:W207))</f>
        <v>-321233.44911570288</v>
      </c>
      <c r="Y207" s="96">
        <f>IF(SUM(B200:Y200)+SUM(A207:X207)&gt;0,0,SUM(B200:Y200)-SUM(A207:X207))</f>
        <v>-335857.736696003</v>
      </c>
      <c r="Z207" s="96">
        <f>IF(SUM(B200:Z200)+SUM(A207:Y207)&gt;0,0,SUM(B200:Z200)-SUM(A207:Y207))</f>
        <v>-351125.49292983627</v>
      </c>
      <c r="AA207" s="96">
        <f>IF(SUM(B200:AA200)+SUM(A207:Z207)&gt;0,0,SUM(B200:AA200)-SUM(A207:Z207))</f>
        <v>-367065.03043795796</v>
      </c>
    </row>
    <row r="208" spans="1:27">
      <c r="A208" s="97" t="s">
        <v>38</v>
      </c>
      <c r="B208" s="101">
        <f>IF(((SUM(B187:B187)+SUM(B189:B193))+SUM(B210:B210))&lt;0,((SUM(B187:B187)+SUM(B189:B193))+SUM(B210:B210))*0.18-SUM(A208:A208),IF(SUM(A208:B208)&lt;0,0-SUM(A208:B208),0))</f>
        <v>-976271.18644067808</v>
      </c>
      <c r="C208" s="101">
        <f>IF(((SUM(B187:C187)+SUM(B189:C193))+SUM(B210:C210))&lt;0,((SUM(B187:C187)+SUM(B189:C193))+SUM(B210:C210))*0.18-SUM(A208:B208),IF(SUM(B208:B208)&lt;0,0-SUM(B208:B208),0))</f>
        <v>121102.77075742371</v>
      </c>
      <c r="D208" s="101">
        <f>IF(((SUM(B187:D187)+SUM(B189:D193))+SUM(B210:D210))&lt;0,((SUM(B187:D187)+SUM(B189:D193))+SUM(B210:D210))*0.18-SUM(A208:C208),IF(SUM(B208:C208)&lt;0,0-SUM(B208:C208),0))</f>
        <v>126431.29267075041</v>
      </c>
      <c r="E208" s="101">
        <f>IF(((SUM(B187:E187)+SUM(B189:E193))+SUM(B210:E210))&lt;0,((SUM(B187:E187)+SUM(B189:E193))+SUM(B210:E210))*0.18-SUM(A208:D208),IF(SUM(B208:D208)&lt;0,0-SUM(B208:D208),0))</f>
        <v>131994.26954826352</v>
      </c>
      <c r="F208" s="101">
        <f>IF(((SUM(B187:F187)+SUM(B189:F193))+SUM(B210:F210))&lt;0,((SUM(B187:F187)+SUM(B189:F193))+SUM(B210:F210))*0.18-SUM(A208:E208),IF(SUM(B208:E208)&lt;0,0-SUM(B208:E208),0))</f>
        <v>137802.01740838698</v>
      </c>
      <c r="G208" s="101">
        <f>IF(((SUM(B187:G187)+SUM(B189:G193))+SUM(B210:G210))&lt;0,((SUM(B187:G187)+SUM(B189:G193))+SUM(B210:G210))*0.18-SUM(A208:F208),IF(SUM(B208:F208)&lt;0,0-SUM(B208:F208),0))</f>
        <v>143865.30617435602</v>
      </c>
      <c r="H208" s="101">
        <f>IF(((SUM(B187:H187)+SUM(B189:H193))+SUM(B210:H210))&lt;0,((SUM(B187:H187)+SUM(B189:H193))+SUM(B210:H210))*0.18-SUM(A208:G208),IF(SUM(B208:G208)&lt;0,0-SUM(B208:G208),0))</f>
        <v>150195.37964602772</v>
      </c>
      <c r="I208" s="101">
        <f>IF(((SUM(B187:I187)+SUM(B189:I193))+SUM(B210:I210))&lt;0,((SUM(B187:I187)+SUM(B189:I193))+SUM(B210:I210))*0.18-SUM(A208:H208),IF(SUM(B208:H208)&lt;0,0-SUM(B208:H208),0))</f>
        <v>156803.97635045293</v>
      </c>
      <c r="J208" s="101">
        <f>IF(((SUM(B187:J187)+SUM(B189:J193))+SUM(B210:J210))&lt;0,((SUM(B187:J187)+SUM(B189:J193))+SUM(B210:J210))*0.18-SUM(A208:I208),IF(SUM(B208:I208)&lt;0,0-SUM(B208:I208),0))</f>
        <v>8076.1738850167894</v>
      </c>
      <c r="K208" s="101">
        <f>IF(((SUM(B187:K187)+SUM(B189:K193))+SUM(B210:K210))&lt;0,((SUM(B187:K187)+SUM(B189:K193))+SUM(B210:K210))*0.18-SUM(A208:J208),IF(SUM(B208:J208)&lt;0,0-SUM(B208:J208),0))</f>
        <v>0</v>
      </c>
      <c r="L208" s="101">
        <f>IF(((SUM(B187:L187)+SUM(B189:L193))+SUM(B210:L210))&lt;0,((SUM(B187:L187)+SUM(B189:L193))+SUM(B210:L210))*0.18-SUM(A208:K208),IF(SUM(B208:K208)&lt;0,0-SUM(B208:K208),0))</f>
        <v>0</v>
      </c>
      <c r="M208" s="101">
        <f>IF(((SUM(B187:M187)+SUM(B189:M193))+SUM(B210:M210))&lt;0,((SUM(B187:M187)+SUM(B189:M193))+SUM(B210:M210))*0.18-SUM(A208:L208),IF(SUM(B208:L208)&lt;0,0-SUM(B208:L208),0))</f>
        <v>0</v>
      </c>
      <c r="N208" s="101">
        <f>IF(((SUM(B187:N187)+SUM(B189:N193))+SUM(B210:N210))&lt;0,((SUM(B187:N187)+SUM(B189:N193))+SUM(B210:N210))*0.18-SUM(A208:M208),IF(SUM(B208:M208)&lt;0,0-SUM(B208:M208),0))</f>
        <v>0</v>
      </c>
      <c r="O208" s="101">
        <f>IF(((SUM(B187:O187)+SUM(B189:O193))+SUM(B210:O210))&lt;0,((SUM(B187:O187)+SUM(B189:O193))+SUM(B210:O210))*0.18-SUM(A208:N208),IF(SUM(B208:N208)&lt;0,0-SUM(B208:N208),0))</f>
        <v>0</v>
      </c>
      <c r="P208" s="101">
        <f>IF(((SUM(B187:P187)+SUM(B189:P193))+SUM(B210:P210))&lt;0,((SUM(B187:P187)+SUM(B189:P193))+SUM(B210:P210))*0.18-SUM(A208:O208),IF(SUM(B208:O208)&lt;0,0-SUM(B208:O208),0))</f>
        <v>0</v>
      </c>
      <c r="Q208" s="101">
        <f>IF(((SUM(B187:Q187)+SUM(B189:Q193))+SUM(B210:Q210))&lt;0,((SUM(B187:Q187)+SUM(B189:Q193))+SUM(B210:Q210))*0.18-SUM(A208:P208),IF(SUM(B208:P208)&lt;0,0-SUM(B208:P208),0))</f>
        <v>0</v>
      </c>
      <c r="R208" s="101">
        <f>IF(((SUM(B187:R187)+SUM(B189:R193))+SUM(B210:R210))&lt;0,((SUM(B187:R187)+SUM(B189:R193))+SUM(B210:R210))*0.18-SUM(A208:Q208),IF(SUM(B208:Q208)&lt;0,0-SUM(B208:Q208),0))</f>
        <v>0</v>
      </c>
      <c r="S208" s="101">
        <f>IF(((SUM(B187:S187)+SUM(B189:S193))+SUM(B210:S210))&lt;0,((SUM(B187:S187)+SUM(B189:S193))+SUM(B210:S210))*0.18-SUM(A208:R208),IF(SUM(B208:R208)&lt;0,0-SUM(B208:R208),0))</f>
        <v>0</v>
      </c>
      <c r="T208" s="101">
        <f>IF(((SUM(B187:T187)+SUM(B189:T193))+SUM(B210:T210))&lt;0,((SUM(B187:T187)+SUM(B189:T193))+SUM(B210:T210))*0.18-SUM(A208:S208),IF(SUM(B208:S208)&lt;0,0-SUM(B208:S208),0))</f>
        <v>0</v>
      </c>
      <c r="U208" s="101">
        <f>IF(((SUM(B187:U187)+SUM(B189:U193))+SUM(B210:U210))&lt;0,((SUM(B187:U187)+SUM(B189:U193))+SUM(B210:U210))*0.18-SUM(A208:T208),IF(SUM(B208:T208)&lt;0,0-SUM(B208:T208),0))</f>
        <v>0</v>
      </c>
      <c r="V208" s="101">
        <f>IF(((SUM(B187:V187)+SUM(B189:V193))+SUM(B210:V210))&lt;0,((SUM(B187:V187)+SUM(B189:V193))+SUM(B210:V210))*0.18-SUM(A208:U208),IF(SUM(B208:U208)&lt;0,0-SUM(B208:U208),0))</f>
        <v>0</v>
      </c>
      <c r="W208" s="101">
        <f>IF(((SUM(B187:W187)+SUM(B189:W193))+SUM(B210:W210))&lt;0,((SUM(B187:W187)+SUM(B189:W193))+SUM(B210:W210))*0.18-SUM(A208:V208),IF(SUM(B208:V208)&lt;0,0-SUM(B208:V208),0))</f>
        <v>0</v>
      </c>
      <c r="X208" s="101">
        <f>IF(((SUM(B187:X187)+SUM(B189:X193))+SUM(B210:X210))&lt;0,((SUM(B187:X187)+SUM(B189:X193))+SUM(B210:X210))*0.18-SUM(A208:W208),IF(SUM(B208:W208)&lt;0,0-SUM(B208:W208),0))</f>
        <v>0</v>
      </c>
      <c r="Y208" s="101">
        <f>IF(((SUM(B187:Y187)+SUM(B189:Y193))+SUM(B210:Y210))&lt;0,((SUM(B187:Y187)+SUM(B189:Y193))+SUM(B210:Y210))*0.18-SUM(A208:X208),IF(SUM(B208:X208)&lt;0,0-SUM(B208:X208),0))</f>
        <v>0</v>
      </c>
      <c r="Z208" s="101">
        <f>IF(((SUM(B187:Z187)+SUM(B189:Z193))+SUM(B210:Z210))&lt;0,((SUM(B187:Z187)+SUM(B189:Z193))+SUM(B210:Z210))*0.18-SUM(A208:Y208),IF(SUM(B208:Y208)&lt;0,0-SUM(B208:Y208),0))</f>
        <v>0</v>
      </c>
      <c r="AA208" s="101">
        <f>IF(((SUM(B187:AA187)+SUM(B189:AA193))+SUM(B210:AA210))&lt;0,((SUM(B187:AA187)+SUM(B189:AA193))+SUM(B210:AA210))*0.18-SUM(A208:Z208),IF(SUM(B208:Z208)&lt;0,0-SUM(B208:Z208),0))</f>
        <v>0</v>
      </c>
    </row>
    <row r="209" spans="1:27">
      <c r="A209" s="97" t="s">
        <v>39</v>
      </c>
      <c r="B209" s="96">
        <f>-B187*(B167)</f>
        <v>0</v>
      </c>
      <c r="C209" s="96">
        <f>-(C187-B187)*B167</f>
        <v>-69966.101694915254</v>
      </c>
      <c r="D209" s="96">
        <f>-(D187-C187)*B167</f>
        <v>-3078.5084745762756</v>
      </c>
      <c r="E209" s="96">
        <f>-(E187-D187)*B167</f>
        <v>-3213.9628474576284</v>
      </c>
      <c r="F209" s="96">
        <f>-(F187-E187)*B167</f>
        <v>-3355.3772127457664</v>
      </c>
      <c r="G209" s="96">
        <f>-(G187-F187)*B167</f>
        <v>-3503.0138101065768</v>
      </c>
      <c r="H209" s="96">
        <f>-(H187-G187)*B167</f>
        <v>-3657.146417751268</v>
      </c>
      <c r="I209" s="96">
        <f>-(I187-H187)*B167</f>
        <v>-3818.0608601323215</v>
      </c>
      <c r="J209" s="96">
        <f>-(J187-I187)*B167</f>
        <v>-3986.0555379781526</v>
      </c>
      <c r="K209" s="96">
        <f>-(K187-J187)*B167</f>
        <v>-4161.4419816491891</v>
      </c>
      <c r="L209" s="96">
        <f>-(L187-K187)*B167</f>
        <v>-4344.5454288417477</v>
      </c>
      <c r="M209" s="96">
        <f>-(M187-L187)*B167</f>
        <v>-4535.7054277107936</v>
      </c>
      <c r="N209" s="96">
        <f>-(N187-M187)*B167</f>
        <v>-4735.2764665300729</v>
      </c>
      <c r="O209" s="96">
        <f>-(O187-N187)*B167</f>
        <v>-4943.6286310573814</v>
      </c>
      <c r="P209" s="96">
        <f>-(P187-O187)*B167</f>
        <v>-5161.1482908239122</v>
      </c>
      <c r="Q209" s="96">
        <f>-(Q187-P187)*B167</f>
        <v>-5388.2388156201696</v>
      </c>
      <c r="R209" s="96">
        <f>-(R187-Q187)*B167</f>
        <v>-5625.3213235074427</v>
      </c>
      <c r="S209" s="96">
        <f>-(S187-R187)*B167</f>
        <v>-5872.835461741779</v>
      </c>
      <c r="T209" s="96">
        <f>-(T187-S187)*B167</f>
        <v>-6131.2402220584227</v>
      </c>
      <c r="U209" s="96">
        <f>-(U187-T187)*B167</f>
        <v>-6401.0147918289995</v>
      </c>
      <c r="V209" s="96">
        <f>-(V187-U187)*B167</f>
        <v>-6682.6594426694564</v>
      </c>
      <c r="W209" s="96">
        <f>-(W187-V187)*B167</f>
        <v>-6976.696458146931</v>
      </c>
      <c r="X209" s="96">
        <f>-(X187-W187)*B167</f>
        <v>-7283.6711023053858</v>
      </c>
      <c r="Y209" s="96">
        <f>-(Y187-X187)*B167</f>
        <v>-7604.1526308068314</v>
      </c>
      <c r="Z209" s="96">
        <f>-(Z187-Y187)*B167</f>
        <v>-7938.7353465623228</v>
      </c>
      <c r="AA209" s="96">
        <f>-(AA187-Z187)*B167</f>
        <v>-8288.0397018110616</v>
      </c>
    </row>
    <row r="210" spans="1:27">
      <c r="A210" s="97" t="s">
        <v>40</v>
      </c>
      <c r="B210" s="96">
        <f>-(B153+B154)*B156</f>
        <v>-5423728.8135593226</v>
      </c>
      <c r="C210" s="96"/>
      <c r="D210" s="96"/>
      <c r="E210" s="96"/>
      <c r="F210" s="96"/>
      <c r="G210" s="96"/>
      <c r="H210" s="96"/>
      <c r="I210" s="96"/>
      <c r="J210" s="96"/>
      <c r="K210" s="96"/>
      <c r="L210" s="96"/>
      <c r="M210" s="96"/>
      <c r="N210" s="96"/>
      <c r="O210" s="96"/>
      <c r="P210" s="96"/>
      <c r="Q210" s="96"/>
      <c r="R210" s="96"/>
      <c r="S210" s="96"/>
      <c r="T210" s="96"/>
      <c r="U210" s="96"/>
      <c r="V210" s="96"/>
      <c r="W210" s="96"/>
      <c r="X210" s="96"/>
      <c r="Y210" s="96"/>
      <c r="Z210" s="96"/>
      <c r="AA210" s="96"/>
    </row>
    <row r="211" spans="1:27">
      <c r="A211" s="97" t="s">
        <v>41</v>
      </c>
      <c r="B211" s="96">
        <f t="shared" ref="B211:AA211" si="462">B182-B183</f>
        <v>0</v>
      </c>
      <c r="C211" s="96">
        <f t="shared" si="462"/>
        <v>0</v>
      </c>
      <c r="D211" s="96">
        <f t="shared" si="462"/>
        <v>0</v>
      </c>
      <c r="E211" s="96">
        <f t="shared" si="462"/>
        <v>0</v>
      </c>
      <c r="F211" s="96">
        <f t="shared" si="462"/>
        <v>0</v>
      </c>
      <c r="G211" s="96">
        <f t="shared" si="462"/>
        <v>0</v>
      </c>
      <c r="H211" s="96">
        <f t="shared" si="462"/>
        <v>0</v>
      </c>
      <c r="I211" s="96">
        <f t="shared" si="462"/>
        <v>0</v>
      </c>
      <c r="J211" s="96">
        <f t="shared" si="462"/>
        <v>0</v>
      </c>
      <c r="K211" s="96">
        <f t="shared" si="462"/>
        <v>0</v>
      </c>
      <c r="L211" s="96">
        <f t="shared" si="462"/>
        <v>0</v>
      </c>
      <c r="M211" s="96">
        <f t="shared" si="462"/>
        <v>0</v>
      </c>
      <c r="N211" s="96">
        <f t="shared" si="462"/>
        <v>0</v>
      </c>
      <c r="O211" s="96">
        <f t="shared" si="462"/>
        <v>0</v>
      </c>
      <c r="P211" s="96">
        <f t="shared" si="462"/>
        <v>0</v>
      </c>
      <c r="Q211" s="96">
        <f t="shared" si="462"/>
        <v>0</v>
      </c>
      <c r="R211" s="96">
        <f t="shared" si="462"/>
        <v>0</v>
      </c>
      <c r="S211" s="96">
        <f t="shared" si="462"/>
        <v>0</v>
      </c>
      <c r="T211" s="96">
        <f t="shared" si="462"/>
        <v>0</v>
      </c>
      <c r="U211" s="96">
        <f t="shared" si="462"/>
        <v>0</v>
      </c>
      <c r="V211" s="96">
        <f t="shared" si="462"/>
        <v>0</v>
      </c>
      <c r="W211" s="96">
        <f t="shared" si="462"/>
        <v>0</v>
      </c>
      <c r="X211" s="96">
        <f t="shared" si="462"/>
        <v>0</v>
      </c>
      <c r="Y211" s="96">
        <f t="shared" si="462"/>
        <v>0</v>
      </c>
      <c r="Z211" s="96">
        <f t="shared" si="462"/>
        <v>0</v>
      </c>
      <c r="AA211" s="96">
        <f t="shared" si="462"/>
        <v>0</v>
      </c>
    </row>
    <row r="212" spans="1:27">
      <c r="A212" s="102" t="s">
        <v>42</v>
      </c>
      <c r="B212" s="95">
        <f t="shared" ref="B212:AA212" si="463">SUM(B204:B211)</f>
        <v>-6400000.0000000009</v>
      </c>
      <c r="C212" s="95">
        <f t="shared" si="463"/>
        <v>589371.20576216956</v>
      </c>
      <c r="D212" s="95">
        <f t="shared" si="463"/>
        <v>685269.6405106202</v>
      </c>
      <c r="E212" s="95">
        <f t="shared" si="463"/>
        <v>715421.50469308766</v>
      </c>
      <c r="F212" s="95">
        <f t="shared" si="463"/>
        <v>726940.72886568506</v>
      </c>
      <c r="G212" s="95">
        <f t="shared" si="463"/>
        <v>762986.2520092217</v>
      </c>
      <c r="H212" s="95">
        <f t="shared" si="463"/>
        <v>800477.77365129977</v>
      </c>
      <c r="I212" s="95">
        <f t="shared" si="463"/>
        <v>839478.91772585502</v>
      </c>
      <c r="J212" s="95">
        <f t="shared" si="463"/>
        <v>724428.93019506114</v>
      </c>
      <c r="K212" s="95">
        <f t="shared" si="463"/>
        <v>751372.39058203658</v>
      </c>
      <c r="L212" s="95">
        <f t="shared" si="463"/>
        <v>787792.88424222253</v>
      </c>
      <c r="M212" s="95">
        <f t="shared" si="463"/>
        <v>825675.87510368275</v>
      </c>
      <c r="N212" s="95">
        <f t="shared" si="463"/>
        <v>865085.71304327296</v>
      </c>
      <c r="O212" s="95">
        <f t="shared" si="463"/>
        <v>906089.57933243143</v>
      </c>
      <c r="P212" s="95">
        <f t="shared" si="463"/>
        <v>948757.61121853837</v>
      </c>
      <c r="Q212" s="95">
        <f t="shared" si="463"/>
        <v>993163.03198786045</v>
      </c>
      <c r="R212" s="95">
        <f t="shared" si="463"/>
        <v>1039382.2867512584</v>
      </c>
      <c r="S212" s="95">
        <f t="shared" si="463"/>
        <v>1087495.1842044722</v>
      </c>
      <c r="T212" s="95">
        <f t="shared" si="463"/>
        <v>1137585.0446258532</v>
      </c>
      <c r="U212" s="95">
        <f t="shared" si="463"/>
        <v>1189738.8543860009</v>
      </c>
      <c r="V212" s="95">
        <f t="shared" si="463"/>
        <v>1168549.1221710753</v>
      </c>
      <c r="W212" s="95">
        <f t="shared" si="463"/>
        <v>1221925.3468234388</v>
      </c>
      <c r="X212" s="95">
        <f t="shared" si="463"/>
        <v>1277650.1253605066</v>
      </c>
      <c r="Y212" s="95">
        <f t="shared" si="463"/>
        <v>1335826.7941532049</v>
      </c>
      <c r="Z212" s="95">
        <f t="shared" si="463"/>
        <v>1396563.2363727822</v>
      </c>
      <c r="AA212" s="95">
        <f t="shared" si="463"/>
        <v>1459972.0820500208</v>
      </c>
    </row>
    <row r="213" spans="1:27">
      <c r="A213" s="102" t="s">
        <v>43</v>
      </c>
      <c r="B213" s="95">
        <f>SUM(B212:B212)</f>
        <v>-6400000.0000000009</v>
      </c>
      <c r="C213" s="95">
        <f>SUM(B212:C212)</f>
        <v>-5810628.7942378316</v>
      </c>
      <c r="D213" s="95">
        <f>SUM(B212:D212)</f>
        <v>-5125359.1537272111</v>
      </c>
      <c r="E213" s="95">
        <f>SUM(B212:E212)</f>
        <v>-4409937.6490341239</v>
      </c>
      <c r="F213" s="95">
        <f>SUM(B212:F212)</f>
        <v>-3682996.9201684389</v>
      </c>
      <c r="G213" s="95">
        <f>SUM(B212:G212)</f>
        <v>-2920010.6681592171</v>
      </c>
      <c r="H213" s="95">
        <f>SUM(B212:H212)</f>
        <v>-2119532.8945079176</v>
      </c>
      <c r="I213" s="95">
        <f>SUM(B212:I212)</f>
        <v>-1280053.9767820626</v>
      </c>
      <c r="J213" s="95">
        <f>SUM(B212:J212)</f>
        <v>-555625.04658700142</v>
      </c>
      <c r="K213" s="95">
        <f>SUM(B212:K212)</f>
        <v>195747.34399503516</v>
      </c>
      <c r="L213" s="95">
        <f>SUM(B212:L212)</f>
        <v>983540.22823725769</v>
      </c>
      <c r="M213" s="95">
        <f>SUM(B212:M212)</f>
        <v>1809216.1033409405</v>
      </c>
      <c r="N213" s="95">
        <f>SUM(B212:N212)</f>
        <v>2674301.8163842135</v>
      </c>
      <c r="O213" s="95">
        <f>SUM(B212:O212)</f>
        <v>3580391.3957166448</v>
      </c>
      <c r="P213" s="95">
        <f>SUM(B212:P212)</f>
        <v>4529149.006935183</v>
      </c>
      <c r="Q213" s="95">
        <f>SUM(B212:Q212)</f>
        <v>5522312.0389230438</v>
      </c>
      <c r="R213" s="95">
        <f>SUM(B212:R212)</f>
        <v>6561694.3256743019</v>
      </c>
      <c r="S213" s="95">
        <f>SUM(B212:S212)</f>
        <v>7649189.5098787742</v>
      </c>
      <c r="T213" s="95">
        <f>SUM(B212:T212)</f>
        <v>8786774.5545046274</v>
      </c>
      <c r="U213" s="95">
        <f>SUM(B212:U212)</f>
        <v>9976513.4088906273</v>
      </c>
      <c r="V213" s="95">
        <f>SUM(B212:V212)</f>
        <v>11145062.531061703</v>
      </c>
      <c r="W213" s="95">
        <f>SUM(B212:W212)</f>
        <v>12366987.877885142</v>
      </c>
      <c r="X213" s="95">
        <f>SUM(B212:X212)</f>
        <v>13644638.003245648</v>
      </c>
      <c r="Y213" s="95">
        <f>SUM(B212:Y212)</f>
        <v>14980464.797398852</v>
      </c>
      <c r="Z213" s="95">
        <f>SUM(B212:Z212)</f>
        <v>16377028.033771634</v>
      </c>
      <c r="AA213" s="95">
        <f>SUM(B212:AA212)</f>
        <v>17837000.115821656</v>
      </c>
    </row>
    <row r="214" spans="1:27">
      <c r="A214" s="103" t="s">
        <v>44</v>
      </c>
      <c r="B214" s="104">
        <f>1/POWER((1+B172),B202)</f>
        <v>1</v>
      </c>
      <c r="C214" s="104">
        <f>1/POWER((1+B172),C202)</f>
        <v>0.92250922509225086</v>
      </c>
      <c r="D214" s="104">
        <f>1/POWER((1+B172),D202)</f>
        <v>0.85102327038030523</v>
      </c>
      <c r="E214" s="104">
        <f>1/POWER((1+B172),E202)</f>
        <v>0.78507681769400839</v>
      </c>
      <c r="F214" s="104">
        <f>1/POWER((1+B172),F202)</f>
        <v>0.72424060672879009</v>
      </c>
      <c r="G214" s="104">
        <f>1/POWER((1+B172),G202)</f>
        <v>0.66811864089371786</v>
      </c>
      <c r="H214" s="104">
        <f>1/POWER((1+B172),H202)</f>
        <v>0.61634560968055141</v>
      </c>
      <c r="I214" s="104">
        <f>1/POWER((1+B172),I202)</f>
        <v>0.56858451077541639</v>
      </c>
      <c r="J214" s="104">
        <f>1/POWER((1+B172),J202)</f>
        <v>0.5245244564348861</v>
      </c>
      <c r="K214" s="104">
        <f>1/POWER((1+B172),K202)</f>
        <v>0.48387864984768086</v>
      </c>
      <c r="L214" s="104">
        <f>1/POWER((1+B172),L202)</f>
        <v>0.44638251830966863</v>
      </c>
      <c r="M214" s="104">
        <f>1/POWER((1+B172),M202)</f>
        <v>0.41179199106057984</v>
      </c>
      <c r="N214" s="104">
        <f>1/POWER((1+B172),N202)</f>
        <v>0.37988191057249071</v>
      </c>
      <c r="O214" s="104">
        <f>1/POWER((1+B172),O202)</f>
        <v>0.35044456694879217</v>
      </c>
      <c r="P214" s="104">
        <f>1/POWER((1+B172),P202)</f>
        <v>0.32328834589371969</v>
      </c>
      <c r="Q214" s="104">
        <f>1/POWER((1+B172),Q202)</f>
        <v>0.2982364814517709</v>
      </c>
      <c r="R214" s="104">
        <f>1/POWER((1+B172),R202)</f>
        <v>0.27512590539831266</v>
      </c>
      <c r="S214" s="104">
        <f>1/POWER((1+B172),S202)</f>
        <v>0.25380618579180131</v>
      </c>
      <c r="T214" s="104">
        <f>1/POWER((1+B172),T202)</f>
        <v>0.2341385477784145</v>
      </c>
      <c r="U214" s="104">
        <f>1/POWER((1+B172),U202)</f>
        <v>0.21599497027529013</v>
      </c>
      <c r="V214" s="104">
        <f>1/POWER((1+B172),V202)</f>
        <v>0.19925735265248168</v>
      </c>
      <c r="W214" s="104">
        <f>1/POWER((1+B172),W202)</f>
        <v>0.18381674598937425</v>
      </c>
      <c r="X214" s="104">
        <f>1/POWER((1+B172),X202)</f>
        <v>0.16957264390163673</v>
      </c>
      <c r="Y214" s="104">
        <f>1/POWER((1+B172),Y202)</f>
        <v>0.15643232832254311</v>
      </c>
      <c r="Z214" s="104">
        <f>1/POWER((1+B172),Z202)</f>
        <v>0.14431026598020583</v>
      </c>
      <c r="AA214" s="104">
        <f>1/POWER((1+B172),AA202)</f>
        <v>0.13312755164225631</v>
      </c>
    </row>
    <row r="215" spans="1:27">
      <c r="A215" s="105" t="s">
        <v>45</v>
      </c>
      <c r="B215" s="106">
        <f t="shared" ref="B215:AA215" si="464">B212*B214</f>
        <v>-6400000.0000000009</v>
      </c>
      <c r="C215" s="106">
        <f t="shared" si="464"/>
        <v>543700.37431934453</v>
      </c>
      <c r="D215" s="106">
        <f t="shared" si="464"/>
        <v>583180.41055968415</v>
      </c>
      <c r="E215" s="106">
        <f t="shared" si="464"/>
        <v>561660.83821430837</v>
      </c>
      <c r="F215" s="106">
        <f t="shared" si="464"/>
        <v>526479.99452955264</v>
      </c>
      <c r="G215" s="106">
        <f t="shared" si="464"/>
        <v>509765.33771299291</v>
      </c>
      <c r="H215" s="106">
        <f t="shared" si="464"/>
        <v>493370.96143684076</v>
      </c>
      <c r="I215" s="106">
        <f t="shared" si="464"/>
        <v>477314.70974143129</v>
      </c>
      <c r="J215" s="106">
        <f t="shared" si="464"/>
        <v>379980.69083627051</v>
      </c>
      <c r="K215" s="106">
        <f t="shared" si="464"/>
        <v>363573.05788766016</v>
      </c>
      <c r="L215" s="106">
        <f t="shared" si="464"/>
        <v>351656.97157448053</v>
      </c>
      <c r="M215" s="106">
        <f t="shared" si="464"/>
        <v>340006.71257963218</v>
      </c>
      <c r="N215" s="106">
        <f t="shared" si="464"/>
        <v>328630.41347984399</v>
      </c>
      <c r="O215" s="106">
        <f t="shared" si="464"/>
        <v>317534.17024596722</v>
      </c>
      <c r="P215" s="106">
        <f t="shared" si="464"/>
        <v>306722.27878491807</v>
      </c>
      <c r="Q215" s="106">
        <f t="shared" si="464"/>
        <v>296197.4481680321</v>
      </c>
      <c r="R215" s="106">
        <f t="shared" si="464"/>
        <v>285960.9926974086</v>
      </c>
      <c r="S215" s="106">
        <f t="shared" si="464"/>
        <v>276013.00476988946</v>
      </c>
      <c r="T215" s="106">
        <f t="shared" si="464"/>
        <v>266352.51032314013</v>
      </c>
      <c r="U215" s="106">
        <f t="shared" si="464"/>
        <v>256977.60848846199</v>
      </c>
      <c r="V215" s="106">
        <f t="shared" si="464"/>
        <v>232842.00452818986</v>
      </c>
      <c r="W215" s="106">
        <f t="shared" si="464"/>
        <v>224610.34109502207</v>
      </c>
      <c r="X215" s="106">
        <f t="shared" si="464"/>
        <v>216654.50973863871</v>
      </c>
      <c r="Y215" s="106">
        <f t="shared" si="464"/>
        <v>208966.49564502435</v>
      </c>
      <c r="Z215" s="106">
        <f t="shared" si="464"/>
        <v>201538.41209913325</v>
      </c>
      <c r="AA215" s="106">
        <f t="shared" si="464"/>
        <v>194362.50874936662</v>
      </c>
    </row>
    <row r="216" spans="1:27">
      <c r="A216" s="105" t="s">
        <v>46</v>
      </c>
      <c r="B216" s="106">
        <f>SUM(B215:B215)</f>
        <v>-6400000.0000000009</v>
      </c>
      <c r="C216" s="106">
        <f>SUM(B215:C215)</f>
        <v>-5856299.6256806562</v>
      </c>
      <c r="D216" s="106">
        <f>SUM(B215:D215)</f>
        <v>-5273119.2151209721</v>
      </c>
      <c r="E216" s="106">
        <f>SUM(B215:E215)</f>
        <v>-4711458.3769066641</v>
      </c>
      <c r="F216" s="106">
        <f>SUM(B215:F215)</f>
        <v>-4184978.3823771114</v>
      </c>
      <c r="G216" s="106">
        <f>SUM(B215:G215)</f>
        <v>-3675213.0446641184</v>
      </c>
      <c r="H216" s="106">
        <f>SUM(B215:H215)</f>
        <v>-3181842.0832272777</v>
      </c>
      <c r="I216" s="106">
        <f>SUM(B215:I215)</f>
        <v>-2704527.3734858464</v>
      </c>
      <c r="J216" s="106">
        <f>SUM(B215:J215)</f>
        <v>-2324546.6826495761</v>
      </c>
      <c r="K216" s="106">
        <f>SUM(B215:K215)</f>
        <v>-1960973.624761916</v>
      </c>
      <c r="L216" s="106">
        <f>SUM(B215:L215)</f>
        <v>-1609316.6531874356</v>
      </c>
      <c r="M216" s="106">
        <f>SUM(B215:M215)</f>
        <v>-1269309.9406078034</v>
      </c>
      <c r="N216" s="106">
        <f>SUM(B215:N215)</f>
        <v>-940679.52712795942</v>
      </c>
      <c r="O216" s="106">
        <f>SUM(B215:O215)</f>
        <v>-623145.35688199219</v>
      </c>
      <c r="P216" s="106">
        <f>SUM(B215:P215)</f>
        <v>-316423.07809707412</v>
      </c>
      <c r="Q216" s="106">
        <f>SUM(B215:Q215)</f>
        <v>-20225.629929042014</v>
      </c>
      <c r="R216" s="106">
        <f>SUM(B215:R215)</f>
        <v>265735.36276836658</v>
      </c>
      <c r="S216" s="106">
        <f>SUM(B215:S215)</f>
        <v>541748.36753825611</v>
      </c>
      <c r="T216" s="106">
        <f>SUM(B215:T215)</f>
        <v>808100.87786139618</v>
      </c>
      <c r="U216" s="106">
        <f>SUM(B215:U215)</f>
        <v>1065078.4863498581</v>
      </c>
      <c r="V216" s="106">
        <f>SUM(B215:V215)</f>
        <v>1297920.4908780479</v>
      </c>
      <c r="W216" s="106">
        <f>SUM(B215:W215)</f>
        <v>1522530.83197307</v>
      </c>
      <c r="X216" s="106">
        <f>SUM(B215:X215)</f>
        <v>1739185.3417117088</v>
      </c>
      <c r="Y216" s="106">
        <f>SUM(B215:Y215)</f>
        <v>1948151.8373567332</v>
      </c>
      <c r="Z216" s="106">
        <f>SUM(B215:Z215)</f>
        <v>2149690.2494558664</v>
      </c>
      <c r="AA216" s="106">
        <f>SUM(B215:AA215)</f>
        <v>2344052.7582052331</v>
      </c>
    </row>
    <row r="217" spans="1:27">
      <c r="A217" s="105" t="s">
        <v>47</v>
      </c>
      <c r="B217" s="107">
        <f>IF((ISERR(IRR(B212:B212))),0,IF(IRR(B212:B212)&lt;0,0,IRR(B212:B212)))</f>
        <v>0</v>
      </c>
      <c r="C217" s="107">
        <f>IF((ISERR(IRR(B212:C212))),0,IF(IRR(B212:C212)&lt;0,0,IRR(B212:C212)))</f>
        <v>0</v>
      </c>
      <c r="D217" s="107">
        <f>IF((ISERR(IRR(B212:D212))),0,IF(IRR(B212:D212)&lt;0,0,IRR(B212:D212)))</f>
        <v>0</v>
      </c>
      <c r="E217" s="107">
        <f>IF((ISERR(IRR(B212:E212))),0,IF(IRR(B212:E212)&lt;0,0,IRR(B212:E212)))</f>
        <v>0</v>
      </c>
      <c r="F217" s="107">
        <f>IF((ISERR(IRR(B212:F212))),0,IF(IRR(B212:F212)&lt;0,0,IRR(B212:F212)))</f>
        <v>0</v>
      </c>
      <c r="G217" s="107">
        <f>IF((ISERR(IRR(B212:G212))),0,IF(IRR(B212:G212)&lt;0,0,IRR(B212:G212)))</f>
        <v>0</v>
      </c>
      <c r="H217" s="107">
        <f>IF((ISERR(IRR(B212:H212))),0,IF(IRR(B212:H212)&lt;0,0,IRR(B212:H212)))</f>
        <v>0</v>
      </c>
      <c r="I217" s="107">
        <f>IF((ISERR(IRR(B212:I212))),0,IF(IRR(B212:I212)&lt;0,0,IRR(B212:I212)))</f>
        <v>0</v>
      </c>
      <c r="J217" s="107">
        <f>IF((ISERR(IRR(B212:J212))),0,IF(IRR(B212:J212)&lt;0,0,IRR(B212:J212)))</f>
        <v>0</v>
      </c>
      <c r="K217" s="107">
        <f>IF((ISERR(IRR(B212:K212))),0,IF(IRR(B212:K212)&lt;0,0,IRR(B212:K212)))</f>
        <v>5.8712895893113792E-3</v>
      </c>
      <c r="L217" s="107">
        <f>IF((ISERR(IRR(B212:L212))),0,IF(IRR(B212:L212)&lt;0,0,IRR(B212:L212)))</f>
        <v>2.5951569503895211E-2</v>
      </c>
      <c r="M217" s="107">
        <f>IF((ISERR(IRR(B212:M212))),0,IF(IRR(B212:M212)&lt;0,0,IRR(B212:M212)))</f>
        <v>4.2251089035551193E-2</v>
      </c>
      <c r="N217" s="107">
        <f>IF((ISERR(IRR(B212:N212))),0,IF(IRR(B212:N212)&lt;0,0,IRR(B212:N212)))</f>
        <v>5.5597775071365874E-2</v>
      </c>
      <c r="O217" s="107">
        <f>IF((ISERR(IRR(B212:O212))),0,IF(IRR(B212:O212)&lt;0,0,IRR(B212:O212)))</f>
        <v>6.6622313916713694E-2</v>
      </c>
      <c r="P217" s="107">
        <f>IF((ISERR(IRR(B212:P212))),0,IF(IRR(B212:P212)&lt;0,0,IRR(B212:P212)))</f>
        <v>7.5804438637382399E-2</v>
      </c>
      <c r="Q217" s="107">
        <f>IF((ISERR(IRR(B212:Q212))),0,IF(IRR(B212:Q212)&lt;0,0,IRR(B212:Q212)))</f>
        <v>8.3510997289037547E-2</v>
      </c>
      <c r="R217" s="107">
        <f>IF((ISERR(IRR(B212:R212))),0,IF(IRR(B212:R212)&lt;0,0,IRR(B212:R212)))</f>
        <v>9.0024821807153099E-2</v>
      </c>
      <c r="S217" s="107">
        <f>IF((ISERR(IRR(B212:S212))),0,IF(IRR(B212:S212)&lt;0,0,IRR(B212:S212)))</f>
        <v>9.5566003484717887E-2</v>
      </c>
      <c r="T217" s="107">
        <f>IF((ISERR(IRR(B212:T212))),0,IF(IRR(B212:T212)&lt;0,0,IRR(B212:T212)))</f>
        <v>0.10030744784814005</v>
      </c>
      <c r="U217" s="107">
        <f>IF((ISERR(IRR(B212:U212))),0,IF(IRR(B212:U212)&lt;0,0,IRR(B212:U212)))</f>
        <v>0.10438626228659853</v>
      </c>
      <c r="V217" s="107">
        <f>IF((ISERR(IRR(B212:V212))),0,IF(IRR(B212:V212)&lt;0,0,IRR(B212:V212)))</f>
        <v>0.1077066623046985</v>
      </c>
      <c r="W217" s="107">
        <f>IF((ISERR(IRR(B212:W212))),0,IF(IRR(B212:W212)&lt;0,0,IRR(B212:W212)))</f>
        <v>0.11060405210668334</v>
      </c>
      <c r="X217" s="107">
        <f>IF((ISERR(IRR(B212:X212))),0,IF(IRR(B212:X212)&lt;0,0,IRR(B212:X212)))</f>
        <v>0.11314122395565618</v>
      </c>
      <c r="Y217" s="107">
        <f>IF((ISERR(IRR(B212:Y212))),0,IF(IRR(B212:Y212)&lt;0,0,IRR(B212:Y212)))</f>
        <v>0.11537027103084685</v>
      </c>
      <c r="Z217" s="107">
        <f>IF((ISERR(IRR(B212:Z212))),0,IF(IRR(B212:Z212)&lt;0,0,IRR(B212:Z212)))</f>
        <v>0.11733461885487362</v>
      </c>
      <c r="AA217" s="107">
        <f>IF((ISERR(IRR(B212:AA212))),0,IF(IRR(B212:AA212)&lt;0,0,IRR(B212:AA212)))</f>
        <v>0.11907064262332323</v>
      </c>
    </row>
    <row r="218" spans="1:27">
      <c r="A218" s="105" t="s">
        <v>48</v>
      </c>
      <c r="B218" s="108"/>
      <c r="C218" s="108">
        <f t="shared" ref="C218" si="465">IF(AND(C213&gt;0,B213&lt;0),(C202-(C213/(C213-B213))),0)</f>
        <v>0</v>
      </c>
      <c r="D218" s="108">
        <f t="shared" ref="D218" si="466">IF(AND(D213&gt;0,C213&lt;0),(D202-(D213/(D213-C213))),0)</f>
        <v>0</v>
      </c>
      <c r="E218" s="108">
        <f t="shared" ref="E218" si="467">IF(AND(E213&gt;0,D213&lt;0),(E202-(E213/(E213-D213))),0)</f>
        <v>0</v>
      </c>
      <c r="F218" s="108">
        <f t="shared" ref="F218" si="468">IF(AND(F213&gt;0,E213&lt;0),(F202-(F213/(F213-E213))),0)</f>
        <v>0</v>
      </c>
      <c r="G218" s="108">
        <f t="shared" ref="G218" si="469">IF(AND(G213&gt;0,F213&lt;0),(G202-(G213/(G213-F213))),0)</f>
        <v>0</v>
      </c>
      <c r="H218" s="108">
        <f t="shared" ref="H218" si="470">IF(AND(H213&gt;0,G213&lt;0),(H202-(H213/(H213-G213))),0)</f>
        <v>0</v>
      </c>
      <c r="I218" s="108">
        <f t="shared" ref="I218" si="471">IF(AND(I213&gt;0,H213&lt;0),(I202-(I213/(I213-H213))),0)</f>
        <v>0</v>
      </c>
      <c r="J218" s="108">
        <f t="shared" ref="J218" si="472">IF(AND(J213&gt;0,I213&lt;0),(J202-(J213/(J213-I213))),0)</f>
        <v>0</v>
      </c>
      <c r="K218" s="108">
        <f t="shared" ref="K218" si="473">IF(AND(K213&gt;0,J213&lt;0),(K202-(K213/(K213-J213))),0)</f>
        <v>8.7394802544668924</v>
      </c>
      <c r="L218" s="108">
        <f t="shared" ref="L218" si="474">IF(AND(L213&gt;0,K213&lt;0),(L202-(L213/(L213-K213))),0)</f>
        <v>0</v>
      </c>
      <c r="M218" s="108">
        <f t="shared" ref="M218" si="475">IF(AND(M213&gt;0,L213&lt;0),(M202-(M213/(M213-L213))),0)</f>
        <v>0</v>
      </c>
      <c r="N218" s="108">
        <f t="shared" ref="N218" si="476">IF(AND(N213&gt;0,M213&lt;0),(N202-(N213/(N213-M213))),0)</f>
        <v>0</v>
      </c>
      <c r="O218" s="108">
        <f t="shared" ref="O218" si="477">IF(AND(O213&gt;0,N213&lt;0),(O202-(O213/(O213-N213))),0)</f>
        <v>0</v>
      </c>
      <c r="P218" s="108">
        <f>IF(AND(P213&gt;0,O213&lt;0),(P202-(P213/(P213-O213))),0)</f>
        <v>0</v>
      </c>
      <c r="Q218" s="108">
        <f>IF(AND(Q213&gt;0,P213&lt;0),(Q202-(Q213/(Q213-P213))),0)</f>
        <v>0</v>
      </c>
      <c r="R218" s="108">
        <f t="shared" ref="R218" si="478">IF(AND(R213&gt;0,Q213&lt;0),(R202-(R213/(R213-Q213))),0)</f>
        <v>0</v>
      </c>
      <c r="S218" s="108">
        <f t="shared" ref="S218" si="479">IF(AND(S213&gt;0,R213&lt;0),(S202-(S213/(S213-R213))),0)</f>
        <v>0</v>
      </c>
      <c r="T218" s="108">
        <f t="shared" ref="T218" si="480">IF(AND(T213&gt;0,S213&lt;0),(T202-(T213/(T213-S213))),0)</f>
        <v>0</v>
      </c>
      <c r="U218" s="108">
        <f t="shared" ref="U218" si="481">IF(AND(U213&gt;0,T213&lt;0),(U202-(U213/(U213-T213))),0)</f>
        <v>0</v>
      </c>
      <c r="V218" s="108">
        <f t="shared" ref="V218" si="482">IF(AND(V213&gt;0,U213&lt;0),(V202-(V213/(V213-U213))),0)</f>
        <v>0</v>
      </c>
      <c r="W218" s="108">
        <f t="shared" ref="W218" si="483">IF(AND(W213&gt;0,V213&lt;0),(W202-(W213/(W213-V213))),0)</f>
        <v>0</v>
      </c>
      <c r="X218" s="108">
        <f t="shared" ref="X218" si="484">IF(AND(X213&gt;0,W213&lt;0),(X202-(X213/(X213-W213))),0)</f>
        <v>0</v>
      </c>
      <c r="Y218" s="108">
        <f t="shared" ref="Y218" si="485">IF(AND(Y213&gt;0,X213&lt;0),(Y202-(Y213/(Y213-X213))),0)</f>
        <v>0</v>
      </c>
      <c r="Z218" s="108">
        <f t="shared" ref="Z218" si="486">IF(AND(Z213&gt;0,Y213&lt;0),(Z202-(Z213/(Z213-Y213))),0)</f>
        <v>0</v>
      </c>
      <c r="AA218" s="108">
        <f t="shared" ref="AA218" si="487">IF(AND(AA213&gt;0,Z213&lt;0),(AA202-(AA213/(AA213-Z213))),0)</f>
        <v>0</v>
      </c>
    </row>
    <row r="219" spans="1:27" ht="16.5" thickBot="1">
      <c r="A219" s="109" t="s">
        <v>49</v>
      </c>
      <c r="B219" s="110"/>
      <c r="C219" s="110">
        <f t="shared" ref="C219" si="488">IF(AND(C216&gt;0,B216&lt;0),(C202-(C216/(C216-B216))),0)</f>
        <v>0</v>
      </c>
      <c r="D219" s="110">
        <f t="shared" ref="D219" si="489">IF(AND(D216&gt;0,C216&lt;0),(D202-(D216/(D216-C216))),0)</f>
        <v>0</v>
      </c>
      <c r="E219" s="110">
        <f t="shared" ref="E219" si="490">IF(AND(E216&gt;0,D216&lt;0),(E202-(E216/(E216-D216))),0)</f>
        <v>0</v>
      </c>
      <c r="F219" s="110">
        <f t="shared" ref="F219" si="491">IF(AND(F216&gt;0,E216&lt;0),(F202-(F216/(F216-E216))),0)</f>
        <v>0</v>
      </c>
      <c r="G219" s="110">
        <f t="shared" ref="G219" si="492">IF(AND(G216&gt;0,F216&lt;0),(G202-(G216/(G216-F216))),0)</f>
        <v>0</v>
      </c>
      <c r="H219" s="110">
        <f t="shared" ref="H219" si="493">IF(AND(H216&gt;0,G216&lt;0),(H202-(H216/(H216-G216))),0)</f>
        <v>0</v>
      </c>
      <c r="I219" s="110">
        <f t="shared" ref="I219" si="494">IF(AND(I216&gt;0,H216&lt;0),(I202-(I216/(I216-H216))),0)</f>
        <v>0</v>
      </c>
      <c r="J219" s="110">
        <f t="shared" ref="J219" si="495">IF(AND(J216&gt;0,I216&lt;0),(J202-(J216/(J216-I216))),0)</f>
        <v>0</v>
      </c>
      <c r="K219" s="110">
        <f t="shared" ref="K219" si="496">IF(AND(K216&gt;0,J216&lt;0),(K202-(K216/(K216-J216))),0)</f>
        <v>0</v>
      </c>
      <c r="L219" s="110">
        <f t="shared" ref="L219" si="497">IF(AND(L216&gt;0,K216&lt;0),(L202-(L216/(L216-K216))),0)</f>
        <v>0</v>
      </c>
      <c r="M219" s="110">
        <f t="shared" ref="M219" si="498">IF(AND(M216&gt;0,L216&lt;0),(M202-(M216/(M216-L216))),0)</f>
        <v>0</v>
      </c>
      <c r="N219" s="110">
        <f t="shared" ref="N219" si="499">IF(AND(N216&gt;0,M216&lt;0),(N202-(N216/(N216-M216))),0)</f>
        <v>0</v>
      </c>
      <c r="O219" s="110">
        <f t="shared" ref="O219" si="500">IF(AND(O216&gt;0,N216&lt;0),(O202-(O216/(O216-N216))),0)</f>
        <v>0</v>
      </c>
      <c r="P219" s="110">
        <f t="shared" ref="P219" si="501">IF(AND(P216&gt;0,O216&lt;0),(P202-(P216/(P216-O216))),0)</f>
        <v>0</v>
      </c>
      <c r="Q219" s="110">
        <f t="shared" ref="Q219" si="502">IF(AND(Q216&gt;0,P216&lt;0),(Q202-(Q216/(Q216-P216))),0)</f>
        <v>0</v>
      </c>
      <c r="R219" s="110">
        <f t="shared" ref="R219" si="503">IF(AND(R216&gt;0,Q216&lt;0),(R202-(R216/(R216-Q216))),0)</f>
        <v>15.07072863238534</v>
      </c>
      <c r="S219" s="110">
        <f t="shared" ref="S219" si="504">IF(AND(S216&gt;0,R216&lt;0),(S202-(S216/(S216-R216))),0)</f>
        <v>0</v>
      </c>
      <c r="T219" s="110">
        <f t="shared" ref="T219" si="505">IF(AND(T216&gt;0,S216&lt;0),(T202-(T216/(T216-S216))),0)</f>
        <v>0</v>
      </c>
      <c r="U219" s="110">
        <f t="shared" ref="U219" si="506">IF(AND(U216&gt;0,T216&lt;0),(U202-(U216/(U216-T216))),0)</f>
        <v>0</v>
      </c>
      <c r="V219" s="110">
        <f t="shared" ref="V219" si="507">IF(AND(V216&gt;0,U216&lt;0),(V202-(V216/(V216-U216))),0)</f>
        <v>0</v>
      </c>
      <c r="W219" s="110">
        <f t="shared" ref="W219" si="508">IF(AND(W216&gt;0,V216&lt;0),(W202-(W216/(W216-V216))),0)</f>
        <v>0</v>
      </c>
      <c r="X219" s="110">
        <f t="shared" ref="X219" si="509">IF(AND(X216&gt;0,W216&lt;0),(X202-(X216/(X216-W216))),0)</f>
        <v>0</v>
      </c>
      <c r="Y219" s="110">
        <f t="shared" ref="Y219" si="510">IF(AND(Y216&gt;0,X216&lt;0),(Y202-(Y216/(Y216-X216))),0)</f>
        <v>0</v>
      </c>
      <c r="Z219" s="110">
        <f t="shared" ref="Z219" si="511">IF(AND(Z216&gt;0,Y216&lt;0),(Z202-(Z216/(Z216-Y216))),0)</f>
        <v>0</v>
      </c>
      <c r="AA219" s="110">
        <f>IF(AND(AA216&gt;0,Z216&lt;0),(AA202-(AA216/(AA216-Z216))),0)</f>
        <v>0</v>
      </c>
    </row>
    <row r="221" spans="1:27" ht="16.5" thickBot="1">
      <c r="A221" s="58" t="s">
        <v>299</v>
      </c>
      <c r="B221" s="58" t="s">
        <v>300</v>
      </c>
      <c r="D221" s="59"/>
      <c r="E221" s="60"/>
      <c r="F221" s="60"/>
      <c r="G221" s="60"/>
      <c r="H221" s="60"/>
    </row>
    <row r="222" spans="1:27" ht="25.5">
      <c r="A222" s="61" t="s">
        <v>301</v>
      </c>
      <c r="B222" s="706">
        <f>3.18*1000000/1.18</f>
        <v>2694915.2542372881</v>
      </c>
      <c r="C222" s="680">
        <v>4</v>
      </c>
      <c r="D222" s="705" t="str">
        <f>'приложение 1.1 '!B29</f>
        <v>Монтаж системы телемеханики на ПС №68 -35/6кВ</v>
      </c>
      <c r="E222" s="62"/>
      <c r="F222" s="62"/>
      <c r="G222" s="62"/>
      <c r="H222" s="62"/>
      <c r="I222" s="62"/>
      <c r="J222" s="62"/>
      <c r="K222" s="62"/>
    </row>
    <row r="223" spans="1:27">
      <c r="A223" s="63" t="s">
        <v>302</v>
      </c>
      <c r="B223" s="64">
        <v>0</v>
      </c>
      <c r="C223" s="62"/>
      <c r="D223" s="62"/>
      <c r="E223" s="62"/>
      <c r="F223" s="62"/>
      <c r="G223" s="62"/>
      <c r="H223" s="62"/>
      <c r="I223" s="62"/>
      <c r="J223" s="62"/>
      <c r="K223" s="62"/>
    </row>
    <row r="224" spans="1:27">
      <c r="A224" s="63" t="s">
        <v>303</v>
      </c>
      <c r="B224" s="64">
        <v>15</v>
      </c>
      <c r="C224" s="62"/>
      <c r="D224" s="57" t="s">
        <v>304</v>
      </c>
      <c r="E224" s="62"/>
      <c r="F224" s="62"/>
      <c r="G224" s="62"/>
      <c r="H224" s="62"/>
      <c r="I224" s="62"/>
      <c r="J224" s="62"/>
      <c r="K224" s="62"/>
    </row>
    <row r="225" spans="1:11" ht="16.5" thickBot="1">
      <c r="A225" s="65" t="s">
        <v>305</v>
      </c>
      <c r="B225" s="68">
        <v>1</v>
      </c>
      <c r="C225" s="62"/>
      <c r="D225" s="929" t="s">
        <v>306</v>
      </c>
      <c r="E225" s="929"/>
      <c r="F225" s="934">
        <f>SUM(B287:X287)</f>
        <v>8.7464482546735827</v>
      </c>
      <c r="G225" s="935">
        <f>SUM(C287:Y287)</f>
        <v>8.7464482546735827</v>
      </c>
      <c r="K225" s="66"/>
    </row>
    <row r="226" spans="1:11">
      <c r="A226" s="70" t="s">
        <v>469</v>
      </c>
      <c r="B226" s="473">
        <f>B222*0.417/100</f>
        <v>11237.796610169493</v>
      </c>
      <c r="C226" s="62"/>
      <c r="D226" s="929" t="s">
        <v>470</v>
      </c>
      <c r="E226" s="929"/>
      <c r="F226" s="934">
        <f>IF(SUM(B288:AA288)=0,"не окупается",SUM(B288:AA288))</f>
        <v>15.084459009351715</v>
      </c>
      <c r="G226" s="935"/>
      <c r="K226" s="66"/>
    </row>
    <row r="227" spans="1:11">
      <c r="A227" s="72" t="s">
        <v>471</v>
      </c>
      <c r="B227" s="474">
        <v>5</v>
      </c>
      <c r="C227" s="62"/>
      <c r="D227" s="929" t="s">
        <v>50</v>
      </c>
      <c r="E227" s="929"/>
      <c r="F227" s="932">
        <f>AA285</f>
        <v>1153580.4409795539</v>
      </c>
      <c r="G227" s="933"/>
      <c r="K227" s="66"/>
    </row>
    <row r="228" spans="1:11">
      <c r="A228" s="72" t="s">
        <v>6</v>
      </c>
      <c r="B228" s="474">
        <v>1</v>
      </c>
      <c r="C228" s="62"/>
      <c r="D228" s="929" t="s">
        <v>7</v>
      </c>
      <c r="E228" s="929"/>
      <c r="F228" s="930" t="str">
        <f>IF(F227&gt;0,"да","нет")</f>
        <v>да</v>
      </c>
      <c r="G228" s="931"/>
      <c r="K228" s="66"/>
    </row>
    <row r="229" spans="1:11">
      <c r="A229" s="72" t="s">
        <v>8</v>
      </c>
      <c r="B229" s="474">
        <f>B222*0.0375/100</f>
        <v>1010.5932203389831</v>
      </c>
      <c r="C229" s="62"/>
      <c r="D229" s="62"/>
      <c r="E229" s="62"/>
      <c r="F229" s="62"/>
      <c r="G229" s="62"/>
      <c r="H229" s="62"/>
      <c r="I229" s="62"/>
      <c r="J229" s="62"/>
      <c r="K229" s="62"/>
    </row>
    <row r="230" spans="1:11">
      <c r="A230" s="72" t="s">
        <v>9</v>
      </c>
      <c r="B230" s="475">
        <v>5</v>
      </c>
      <c r="C230" s="62"/>
      <c r="D230" s="62"/>
      <c r="E230" s="62"/>
      <c r="F230" s="62"/>
      <c r="G230" s="62"/>
      <c r="H230" s="62"/>
      <c r="I230" s="62"/>
      <c r="J230" s="62"/>
      <c r="K230" s="62"/>
    </row>
    <row r="231" spans="1:11">
      <c r="A231" s="72" t="s">
        <v>10</v>
      </c>
      <c r="B231" s="475">
        <v>1</v>
      </c>
      <c r="C231" s="62"/>
      <c r="D231" s="62"/>
      <c r="E231" s="62"/>
      <c r="F231" s="62"/>
      <c r="G231" s="62"/>
      <c r="H231" s="62"/>
      <c r="I231" s="62"/>
      <c r="J231" s="62"/>
      <c r="K231" s="62"/>
    </row>
    <row r="232" spans="1:11">
      <c r="A232" s="75" t="s">
        <v>290</v>
      </c>
      <c r="B232" s="475">
        <v>0</v>
      </c>
      <c r="C232" s="62"/>
      <c r="D232" s="62"/>
      <c r="E232" s="62"/>
      <c r="F232" s="62"/>
      <c r="G232" s="62"/>
      <c r="H232" s="62"/>
      <c r="I232" s="62"/>
      <c r="J232" s="62"/>
      <c r="K232" s="62"/>
    </row>
    <row r="233" spans="1:11" ht="16.5" thickBot="1">
      <c r="A233" s="471" t="s">
        <v>100</v>
      </c>
      <c r="B233" s="476">
        <v>0.2</v>
      </c>
      <c r="C233" s="62"/>
      <c r="D233" s="62"/>
      <c r="E233" s="62"/>
      <c r="F233" s="62"/>
      <c r="G233" s="62"/>
      <c r="H233" s="62"/>
      <c r="I233" s="62"/>
      <c r="J233" s="62"/>
      <c r="K233" s="62"/>
    </row>
    <row r="234" spans="1:11">
      <c r="A234" s="61" t="s">
        <v>290</v>
      </c>
      <c r="B234" s="472">
        <v>0</v>
      </c>
      <c r="C234" s="62"/>
      <c r="D234" s="62"/>
      <c r="E234" s="62"/>
      <c r="F234" s="62"/>
      <c r="G234" s="62"/>
      <c r="H234" s="62"/>
      <c r="I234" s="62"/>
      <c r="J234" s="62"/>
      <c r="K234" s="62"/>
    </row>
    <row r="235" spans="1:11">
      <c r="A235" s="63" t="s">
        <v>11</v>
      </c>
      <c r="B235" s="64">
        <v>0</v>
      </c>
      <c r="C235" s="62"/>
      <c r="D235" s="62"/>
      <c r="E235" s="62"/>
      <c r="F235" s="62"/>
      <c r="G235" s="62"/>
      <c r="H235" s="62"/>
      <c r="I235" s="62"/>
      <c r="J235" s="62"/>
      <c r="K235" s="62"/>
    </row>
    <row r="236" spans="1:11" ht="16.5" thickBot="1">
      <c r="A236" s="67" t="s">
        <v>12</v>
      </c>
      <c r="B236" s="69">
        <v>0.1</v>
      </c>
      <c r="C236" s="62"/>
      <c r="D236" s="62"/>
      <c r="E236" s="62"/>
      <c r="F236" s="62"/>
      <c r="G236" s="62"/>
      <c r="H236" s="62"/>
      <c r="I236" s="62"/>
      <c r="J236" s="62"/>
      <c r="K236" s="62"/>
    </row>
    <row r="237" spans="1:11">
      <c r="A237" s="70" t="s">
        <v>13</v>
      </c>
      <c r="B237" s="71">
        <v>7</v>
      </c>
    </row>
    <row r="238" spans="1:11">
      <c r="A238" s="72" t="s">
        <v>14</v>
      </c>
      <c r="B238" s="73">
        <v>0.16971</v>
      </c>
    </row>
    <row r="239" spans="1:11">
      <c r="A239" s="72" t="s">
        <v>15</v>
      </c>
      <c r="B239" s="74">
        <f>B238</f>
        <v>0.16971</v>
      </c>
    </row>
    <row r="240" spans="1:11">
      <c r="A240" s="72" t="s">
        <v>16</v>
      </c>
      <c r="B240" s="74">
        <f>+(B250+B251)/B222</f>
        <v>0</v>
      </c>
    </row>
    <row r="241" spans="1:27">
      <c r="A241" s="72" t="s">
        <v>17</v>
      </c>
      <c r="B241" s="74">
        <v>8.4000000000000005E-2</v>
      </c>
    </row>
    <row r="242" spans="1:27">
      <c r="A242" s="72" t="s">
        <v>18</v>
      </c>
      <c r="B242" s="74">
        <f>1-B240</f>
        <v>1</v>
      </c>
    </row>
    <row r="243" spans="1:27" ht="16.5" thickBot="1">
      <c r="A243" s="75" t="s">
        <v>19</v>
      </c>
      <c r="B243" s="76">
        <f>B242*B241+B240*B239*(1-B233)</f>
        <v>8.4000000000000005E-2</v>
      </c>
    </row>
    <row r="244" spans="1:27" ht="47.25">
      <c r="A244" s="77" t="s">
        <v>20</v>
      </c>
      <c r="B244" s="78" t="s">
        <v>553</v>
      </c>
      <c r="C244" s="79">
        <v>2017</v>
      </c>
      <c r="D244" s="80">
        <f t="shared" ref="D244" si="512">C244+1</f>
        <v>2018</v>
      </c>
      <c r="E244" s="80">
        <f t="shared" ref="E244" si="513">D244+1</f>
        <v>2019</v>
      </c>
      <c r="F244" s="80">
        <f t="shared" ref="F244" si="514">E244+1</f>
        <v>2020</v>
      </c>
      <c r="G244" s="80">
        <f t="shared" ref="G244" si="515">F244+1</f>
        <v>2021</v>
      </c>
      <c r="H244" s="80">
        <f t="shared" ref="H244" si="516">G244+1</f>
        <v>2022</v>
      </c>
      <c r="I244" s="80">
        <f t="shared" ref="I244" si="517">H244+1</f>
        <v>2023</v>
      </c>
      <c r="J244" s="80">
        <f t="shared" ref="J244" si="518">I244+1</f>
        <v>2024</v>
      </c>
      <c r="K244" s="80">
        <f t="shared" ref="K244" si="519">J244+1</f>
        <v>2025</v>
      </c>
      <c r="L244" s="81">
        <f t="shared" ref="L244" si="520">K244+1</f>
        <v>2026</v>
      </c>
      <c r="M244" s="81">
        <f t="shared" ref="M244" si="521">L244+1</f>
        <v>2027</v>
      </c>
      <c r="N244" s="81">
        <f t="shared" ref="N244" si="522">M244+1</f>
        <v>2028</v>
      </c>
      <c r="O244" s="81">
        <f t="shared" ref="O244" si="523">N244+1</f>
        <v>2029</v>
      </c>
      <c r="P244" s="81">
        <f t="shared" ref="P244" si="524">O244+1</f>
        <v>2030</v>
      </c>
      <c r="Q244" s="81">
        <f t="shared" ref="Q244" si="525">P244+1</f>
        <v>2031</v>
      </c>
      <c r="R244" s="81">
        <f t="shared" ref="R244" si="526">Q244+1</f>
        <v>2032</v>
      </c>
      <c r="S244" s="81">
        <f t="shared" ref="S244" si="527">R244+1</f>
        <v>2033</v>
      </c>
      <c r="T244" s="81">
        <f t="shared" ref="T244" si="528">S244+1</f>
        <v>2034</v>
      </c>
      <c r="U244" s="81">
        <f t="shared" ref="U244" si="529">T244+1</f>
        <v>2035</v>
      </c>
      <c r="V244" s="81">
        <f t="shared" ref="V244" si="530">U244+1</f>
        <v>2036</v>
      </c>
      <c r="W244" s="81">
        <f t="shared" ref="W244" si="531">V244+1</f>
        <v>2037</v>
      </c>
      <c r="X244" s="81">
        <f t="shared" ref="X244" si="532">W244+1</f>
        <v>2038</v>
      </c>
      <c r="Y244" s="81">
        <f t="shared" ref="Y244" si="533">X244+1</f>
        <v>2039</v>
      </c>
      <c r="Z244" s="81">
        <f t="shared" ref="Z244" si="534">Y244+1</f>
        <v>2040</v>
      </c>
      <c r="AA244" s="82">
        <f t="shared" ref="AA244" si="535">Z244+1</f>
        <v>2041</v>
      </c>
    </row>
    <row r="245" spans="1:27">
      <c r="A245" s="83" t="s">
        <v>21</v>
      </c>
      <c r="B245" s="84">
        <v>4.3999999999999997E-2</v>
      </c>
      <c r="C245" s="84">
        <v>4.3999999999999997E-2</v>
      </c>
      <c r="D245" s="84">
        <v>4.3999999999999997E-2</v>
      </c>
      <c r="E245" s="84">
        <v>4.3999999999999997E-2</v>
      </c>
      <c r="F245" s="84">
        <v>4.3999999999999997E-2</v>
      </c>
      <c r="G245" s="84">
        <v>4.3999999999999997E-2</v>
      </c>
      <c r="H245" s="84">
        <v>4.3999999999999997E-2</v>
      </c>
      <c r="I245" s="84">
        <v>4.3999999999999997E-2</v>
      </c>
      <c r="J245" s="84">
        <v>4.3999999999999997E-2</v>
      </c>
      <c r="K245" s="84">
        <v>4.3999999999999997E-2</v>
      </c>
      <c r="L245" s="84">
        <v>4.3999999999999997E-2</v>
      </c>
      <c r="M245" s="84">
        <v>4.3999999999999997E-2</v>
      </c>
      <c r="N245" s="84">
        <v>4.3999999999999997E-2</v>
      </c>
      <c r="O245" s="84">
        <v>4.3999999999999997E-2</v>
      </c>
      <c r="P245" s="84">
        <v>4.3999999999999997E-2</v>
      </c>
      <c r="Q245" s="84">
        <v>4.3999999999999997E-2</v>
      </c>
      <c r="R245" s="84">
        <v>4.3999999999999997E-2</v>
      </c>
      <c r="S245" s="84">
        <v>4.3999999999999997E-2</v>
      </c>
      <c r="T245" s="84">
        <v>4.3999999999999997E-2</v>
      </c>
      <c r="U245" s="84">
        <v>4.3999999999999997E-2</v>
      </c>
      <c r="V245" s="84">
        <v>4.3999999999999997E-2</v>
      </c>
      <c r="W245" s="84">
        <v>4.3999999999999997E-2</v>
      </c>
      <c r="X245" s="84">
        <v>4.3999999999999997E-2</v>
      </c>
      <c r="Y245" s="84">
        <v>4.3999999999999997E-2</v>
      </c>
      <c r="Z245" s="84">
        <v>4.3999999999999997E-2</v>
      </c>
      <c r="AA245" s="84">
        <v>4.3999999999999997E-2</v>
      </c>
    </row>
    <row r="246" spans="1:27">
      <c r="A246" s="83" t="s">
        <v>22</v>
      </c>
      <c r="B246" s="84">
        <f>B245</f>
        <v>4.3999999999999997E-2</v>
      </c>
      <c r="C246" s="84">
        <f>(1+B246)*(1+C245)-1</f>
        <v>8.9936000000000016E-2</v>
      </c>
      <c r="D246" s="84">
        <f>(1+C246)*(1+D245)-1</f>
        <v>0.13789318400000017</v>
      </c>
      <c r="E246" s="84">
        <f t="shared" ref="E246" si="536">(1+D246)*(1+E245)-1</f>
        <v>0.1879604840960003</v>
      </c>
      <c r="F246" s="84">
        <f t="shared" ref="F246" si="537">(1+E246)*(1+F245)-1</f>
        <v>0.24023074539622447</v>
      </c>
      <c r="G246" s="84">
        <f t="shared" ref="G246" si="538">(1+F246)*(1+G245)-1</f>
        <v>0.29480089819365829</v>
      </c>
      <c r="H246" s="84">
        <f t="shared" ref="H246" si="539">(1+G246)*(1+H245)-1</f>
        <v>0.35177213771417937</v>
      </c>
      <c r="I246" s="84">
        <f t="shared" ref="I246" si="540">(1+H246)*(1+I245)-1</f>
        <v>0.41125011177360338</v>
      </c>
      <c r="J246" s="84">
        <f t="shared" ref="J246" si="541">(1+I246)*(1+J245)-1</f>
        <v>0.47334511669164203</v>
      </c>
      <c r="K246" s="84">
        <f t="shared" ref="K246" si="542">(1+J246)*(1+K245)-1</f>
        <v>0.53817230182607423</v>
      </c>
      <c r="L246" s="84">
        <f t="shared" ref="L246" si="543">(1+K246)*(1+L245)-1</f>
        <v>0.60585188310642146</v>
      </c>
      <c r="M246" s="84">
        <f t="shared" ref="M246" si="544">(1+L246)*(1+M245)-1</f>
        <v>0.67650936596310407</v>
      </c>
      <c r="N246" s="84">
        <f t="shared" ref="N246" si="545">(1+M246)*(1+N245)-1</f>
        <v>0.75027577806548074</v>
      </c>
      <c r="O246" s="84">
        <f t="shared" ref="O246" si="546">(1+N246)*(1+O245)-1</f>
        <v>0.82728791230036203</v>
      </c>
      <c r="P246" s="84">
        <f t="shared" ref="P246" si="547">(1+O246)*(1+P245)-1</f>
        <v>0.90768858044157796</v>
      </c>
      <c r="Q246" s="84">
        <f t="shared" ref="Q246" si="548">(1+P246)*(1+Q245)-1</f>
        <v>0.99162687798100757</v>
      </c>
      <c r="R246" s="84">
        <f t="shared" ref="R246" si="549">(1+Q246)*(1+R245)-1</f>
        <v>1.0792584606121718</v>
      </c>
      <c r="S246" s="84">
        <f t="shared" ref="S246" si="550">(1+R246)*(1+S245)-1</f>
        <v>1.1707458328791076</v>
      </c>
      <c r="T246" s="84">
        <f t="shared" ref="T246" si="551">(1+S246)*(1+T245)-1</f>
        <v>1.2662586495257884</v>
      </c>
      <c r="U246" s="84">
        <f t="shared" ref="U246" si="552">(1+T246)*(1+U245)-1</f>
        <v>1.365974030104923</v>
      </c>
      <c r="V246" s="84">
        <f t="shared" ref="V246" si="553">(1+U246)*(1+V245)-1</f>
        <v>1.4700768874295398</v>
      </c>
      <c r="W246" s="84">
        <f t="shared" ref="W246" si="554">(1+V246)*(1+W245)-1</f>
        <v>1.5787602704764399</v>
      </c>
      <c r="X246" s="84">
        <f t="shared" ref="X246" si="555">(1+W246)*(1+X245)-1</f>
        <v>1.6922257223774033</v>
      </c>
      <c r="Y246" s="84">
        <f t="shared" ref="Y246" si="556">(1+X246)*(1+Y245)-1</f>
        <v>1.810683654162009</v>
      </c>
      <c r="Z246" s="84">
        <f t="shared" ref="Z246" si="557">(1+Y246)*(1+Z245)-1</f>
        <v>1.9343537349451374</v>
      </c>
      <c r="AA246" s="84">
        <f t="shared" ref="AA246" si="558">(1+Z246)*(1+AA245)-1</f>
        <v>2.0634652992827234</v>
      </c>
    </row>
    <row r="247" spans="1:27" ht="16.5" thickBot="1">
      <c r="A247" s="85" t="s">
        <v>23</v>
      </c>
      <c r="B247" s="86"/>
      <c r="C247" s="87">
        <f>B222*0.12*1.075</f>
        <v>347644.06779661012</v>
      </c>
      <c r="D247" s="87">
        <f>C247*(1+D245)</f>
        <v>362940.40677966096</v>
      </c>
      <c r="E247" s="87">
        <f t="shared" ref="E247" si="559">D247*(1+E245)</f>
        <v>378909.78467796603</v>
      </c>
      <c r="F247" s="87">
        <f t="shared" ref="F247" si="560">E247*(1+F245)</f>
        <v>395581.81520379655</v>
      </c>
      <c r="G247" s="87">
        <f t="shared" ref="G247" si="561">F247*(1+G245)</f>
        <v>412987.41507276363</v>
      </c>
      <c r="H247" s="87">
        <f t="shared" ref="H247" si="562">G247*(1+H245)</f>
        <v>431158.86133596522</v>
      </c>
      <c r="I247" s="87">
        <f t="shared" ref="I247" si="563">H247*(1+I245)</f>
        <v>450129.85123474774</v>
      </c>
      <c r="J247" s="87">
        <f t="shared" ref="J247" si="564">I247*(1+J245)</f>
        <v>469935.56468907668</v>
      </c>
      <c r="K247" s="87">
        <f t="shared" ref="K247" si="565">J247*(1+K245)</f>
        <v>490612.72953539609</v>
      </c>
      <c r="L247" s="87">
        <f t="shared" ref="L247" si="566">K247*(1+L245)</f>
        <v>512199.68963495357</v>
      </c>
      <c r="M247" s="87">
        <f t="shared" ref="M247" si="567">L247*(1+M245)</f>
        <v>534736.4759788916</v>
      </c>
      <c r="N247" s="87">
        <f t="shared" ref="N247" si="568">M247*(1+N245)</f>
        <v>558264.8809219629</v>
      </c>
      <c r="O247" s="87">
        <f t="shared" ref="O247" si="569">N247*(1+O245)</f>
        <v>582828.53568252933</v>
      </c>
      <c r="P247" s="87">
        <f t="shared" ref="P247" si="570">O247*(1+P245)</f>
        <v>608472.99125256063</v>
      </c>
      <c r="Q247" s="87">
        <f t="shared" ref="Q247" si="571">P247*(1+Q245)</f>
        <v>635245.80286767334</v>
      </c>
      <c r="R247" s="87">
        <f t="shared" ref="R247" si="572">Q247*(1+R245)</f>
        <v>663196.61819385097</v>
      </c>
      <c r="S247" s="87">
        <f t="shared" ref="S247" si="573">R247*(1+S245)</f>
        <v>692377.26939438039</v>
      </c>
      <c r="T247" s="87">
        <f t="shared" ref="T247" si="574">S247*(1+T245)</f>
        <v>722841.86924773315</v>
      </c>
      <c r="U247" s="87">
        <f t="shared" ref="U247" si="575">T247*(1+U245)</f>
        <v>754646.91149463342</v>
      </c>
      <c r="V247" s="87">
        <f t="shared" ref="V247" si="576">U247*(1+V245)</f>
        <v>787851.37560039735</v>
      </c>
      <c r="W247" s="87">
        <f t="shared" ref="W247" si="577">V247*(1+W245)</f>
        <v>822516.83612681483</v>
      </c>
      <c r="X247" s="87">
        <f t="shared" ref="X247" si="578">W247*(1+X245)</f>
        <v>858707.57691639476</v>
      </c>
      <c r="Y247" s="87">
        <f t="shared" ref="Y247" si="579">X247*(1+Y245)</f>
        <v>896490.71030071611</v>
      </c>
      <c r="Z247" s="87">
        <f t="shared" ref="Z247" si="580">Y247*(1+Z245)</f>
        <v>935936.30155394762</v>
      </c>
      <c r="AA247" s="87">
        <f t="shared" ref="AA247" si="581">Z247*(1+AA245)</f>
        <v>977117.4988223213</v>
      </c>
    </row>
    <row r="248" spans="1:27" ht="16.5" thickBot="1"/>
    <row r="249" spans="1:27" ht="47.25">
      <c r="A249" s="88" t="s">
        <v>24</v>
      </c>
      <c r="B249" s="78" t="s">
        <v>553</v>
      </c>
      <c r="C249" s="79">
        <f>C244</f>
        <v>2017</v>
      </c>
      <c r="D249" s="80">
        <f t="shared" ref="D249" si="582">C249+1</f>
        <v>2018</v>
      </c>
      <c r="E249" s="80">
        <f t="shared" ref="E249" si="583">D249+1</f>
        <v>2019</v>
      </c>
      <c r="F249" s="80">
        <f t="shared" ref="F249" si="584">E249+1</f>
        <v>2020</v>
      </c>
      <c r="G249" s="80">
        <f t="shared" ref="G249" si="585">F249+1</f>
        <v>2021</v>
      </c>
      <c r="H249" s="80">
        <f t="shared" ref="H249" si="586">G249+1</f>
        <v>2022</v>
      </c>
      <c r="I249" s="80">
        <f t="shared" ref="I249" si="587">H249+1</f>
        <v>2023</v>
      </c>
      <c r="J249" s="80">
        <f t="shared" ref="J249" si="588">I249+1</f>
        <v>2024</v>
      </c>
      <c r="K249" s="80">
        <f t="shared" ref="K249" si="589">J249+1</f>
        <v>2025</v>
      </c>
      <c r="L249" s="80">
        <f t="shared" ref="L249" si="590">K249+1</f>
        <v>2026</v>
      </c>
      <c r="M249" s="80">
        <f t="shared" ref="M249" si="591">L249+1</f>
        <v>2027</v>
      </c>
      <c r="N249" s="80">
        <f t="shared" ref="N249" si="592">M249+1</f>
        <v>2028</v>
      </c>
      <c r="O249" s="80">
        <f t="shared" ref="O249" si="593">N249+1</f>
        <v>2029</v>
      </c>
      <c r="P249" s="80">
        <f t="shared" ref="P249" si="594">O249+1</f>
        <v>2030</v>
      </c>
      <c r="Q249" s="80">
        <f t="shared" ref="Q249" si="595">P249+1</f>
        <v>2031</v>
      </c>
      <c r="R249" s="80">
        <f t="shared" ref="R249" si="596">Q249+1</f>
        <v>2032</v>
      </c>
      <c r="S249" s="80">
        <f t="shared" ref="S249" si="597">R249+1</f>
        <v>2033</v>
      </c>
      <c r="T249" s="80">
        <f t="shared" ref="T249" si="598">S249+1</f>
        <v>2034</v>
      </c>
      <c r="U249" s="80">
        <f t="shared" ref="U249" si="599">T249+1</f>
        <v>2035</v>
      </c>
      <c r="V249" s="80">
        <f t="shared" ref="V249" si="600">U249+1</f>
        <v>2036</v>
      </c>
      <c r="W249" s="80">
        <f t="shared" ref="W249" si="601">V249+1</f>
        <v>2037</v>
      </c>
      <c r="X249" s="80">
        <f t="shared" ref="X249" si="602">W249+1</f>
        <v>2038</v>
      </c>
      <c r="Y249" s="80">
        <f t="shared" ref="Y249" si="603">X249+1</f>
        <v>2039</v>
      </c>
      <c r="Z249" s="80">
        <f t="shared" ref="Z249" si="604">Y249+1</f>
        <v>2040</v>
      </c>
      <c r="AA249" s="80">
        <f t="shared" ref="AA249" si="605">Z249+1</f>
        <v>2041</v>
      </c>
    </row>
    <row r="250" spans="1:27">
      <c r="A250" s="89" t="s">
        <v>25</v>
      </c>
      <c r="B250" s="90">
        <v>0</v>
      </c>
      <c r="C250" s="90">
        <f t="shared" ref="C250" si="606">B250+B251-B252</f>
        <v>0</v>
      </c>
      <c r="D250" s="90">
        <f>C250+C251-C252</f>
        <v>0</v>
      </c>
      <c r="E250" s="90">
        <f>D250+D251-D252</f>
        <v>0</v>
      </c>
      <c r="F250" s="90">
        <f t="shared" ref="F250" si="607">E250+E251-E252</f>
        <v>0</v>
      </c>
      <c r="G250" s="90">
        <f t="shared" ref="G250" si="608">F250+F251-F252</f>
        <v>0</v>
      </c>
      <c r="H250" s="90">
        <f t="shared" ref="H250" si="609">G250+G251-G252</f>
        <v>0</v>
      </c>
      <c r="I250" s="90">
        <f>H250+H251-H252</f>
        <v>0</v>
      </c>
      <c r="J250" s="90">
        <f t="shared" ref="J250" si="610">I250+I251-I252</f>
        <v>0</v>
      </c>
      <c r="K250" s="90">
        <f t="shared" ref="K250" si="611">J250+J251-J252</f>
        <v>0</v>
      </c>
      <c r="L250" s="90">
        <f t="shared" ref="L250" si="612">K250+K251-K252</f>
        <v>0</v>
      </c>
      <c r="M250" s="90">
        <f>L250+L251-L252</f>
        <v>0</v>
      </c>
      <c r="N250" s="90">
        <f t="shared" ref="N250" si="613">M250+M251-M252</f>
        <v>0</v>
      </c>
      <c r="O250" s="90">
        <f t="shared" ref="O250" si="614">N250+N251-N252</f>
        <v>0</v>
      </c>
      <c r="P250" s="90">
        <f t="shared" ref="P250" si="615">O250+O251-O252</f>
        <v>0</v>
      </c>
      <c r="Q250" s="90">
        <f t="shared" ref="Q250" si="616">P250+P251-P252</f>
        <v>0</v>
      </c>
      <c r="R250" s="344">
        <f t="shared" ref="R250" si="617">Q250+Q251-Q252</f>
        <v>0</v>
      </c>
      <c r="S250" s="344">
        <f t="shared" ref="S250" si="618">R250+R251-R252</f>
        <v>0</v>
      </c>
      <c r="T250" s="344">
        <f t="shared" ref="T250" si="619">S250+S251-S252</f>
        <v>0</v>
      </c>
      <c r="U250" s="344">
        <f t="shared" ref="U250" si="620">T250+T251-T252</f>
        <v>0</v>
      </c>
      <c r="V250" s="344">
        <f t="shared" ref="V250" si="621">U250+U251-U252</f>
        <v>0</v>
      </c>
      <c r="W250" s="344">
        <f t="shared" ref="W250" si="622">V250+V251-V252</f>
        <v>0</v>
      </c>
      <c r="X250" s="344">
        <f t="shared" ref="X250" si="623">W250+W251-W252</f>
        <v>0</v>
      </c>
      <c r="Y250" s="344">
        <f t="shared" ref="Y250" si="624">X250+X251-X252</f>
        <v>0</v>
      </c>
      <c r="Z250" s="344">
        <f t="shared" ref="Z250" si="625">Y250+Y251-Y252</f>
        <v>0</v>
      </c>
      <c r="AA250" s="344">
        <f t="shared" ref="AA250" si="626">Z250+Z251-Z252</f>
        <v>0</v>
      </c>
    </row>
    <row r="251" spans="1:27">
      <c r="A251" s="89" t="s">
        <v>26</v>
      </c>
      <c r="B251" s="596">
        <v>0</v>
      </c>
      <c r="C251" s="596">
        <v>0</v>
      </c>
      <c r="D251" s="596">
        <v>0</v>
      </c>
      <c r="E251" s="596">
        <v>0</v>
      </c>
      <c r="F251" s="596">
        <v>0</v>
      </c>
      <c r="G251" s="90">
        <v>0</v>
      </c>
      <c r="H251" s="124">
        <v>0</v>
      </c>
      <c r="I251" s="124">
        <v>0</v>
      </c>
      <c r="J251" s="124">
        <v>0</v>
      </c>
      <c r="K251" s="124">
        <v>0</v>
      </c>
      <c r="L251" s="124">
        <v>0</v>
      </c>
      <c r="M251" s="124">
        <v>0</v>
      </c>
      <c r="N251" s="124">
        <v>0</v>
      </c>
      <c r="O251" s="124">
        <v>0</v>
      </c>
      <c r="P251" s="124">
        <v>0</v>
      </c>
      <c r="Q251" s="124">
        <v>0</v>
      </c>
      <c r="R251" s="344">
        <v>0</v>
      </c>
      <c r="S251" s="344">
        <v>0</v>
      </c>
      <c r="T251" s="344">
        <v>0</v>
      </c>
      <c r="U251" s="344">
        <v>0</v>
      </c>
      <c r="V251" s="344">
        <v>0</v>
      </c>
      <c r="W251" s="344">
        <v>0</v>
      </c>
      <c r="X251" s="344">
        <v>0</v>
      </c>
      <c r="Y251" s="344">
        <v>0</v>
      </c>
      <c r="Z251" s="344">
        <v>0</v>
      </c>
      <c r="AA251" s="344">
        <v>0</v>
      </c>
    </row>
    <row r="252" spans="1:27">
      <c r="A252" s="83" t="s">
        <v>27</v>
      </c>
      <c r="B252" s="124">
        <v>0</v>
      </c>
      <c r="C252" s="124">
        <v>0</v>
      </c>
      <c r="D252" s="124">
        <v>0</v>
      </c>
      <c r="E252" s="124"/>
      <c r="F252" s="90"/>
      <c r="G252" s="124">
        <f>G250/7</f>
        <v>0</v>
      </c>
      <c r="H252" s="90">
        <f>IF(ROUND(H250,1)=0,0,G252+H251/$B$30)</f>
        <v>0</v>
      </c>
      <c r="I252" s="90">
        <f>IF(ROUND(I250,1)=0,0,H252+I251/$B$30)</f>
        <v>0</v>
      </c>
      <c r="J252" s="90">
        <f>IF(ROUND(J250,1)=0,0,I252+J251/B237)</f>
        <v>0</v>
      </c>
      <c r="K252" s="90">
        <f>IF(ROUND(K250,1)=0,0,J252+K251/B237)</f>
        <v>0</v>
      </c>
      <c r="L252" s="90">
        <f>IF(ROUND(L250,1)=0,0,K252+L251/B237)</f>
        <v>0</v>
      </c>
      <c r="M252" s="90">
        <f>IF(ROUND(M250,1)=0,0,L252+M251/B237)</f>
        <v>0</v>
      </c>
      <c r="N252" s="90">
        <f>IF(ROUND(N250,1)=0,0,M252+N251/B237)</f>
        <v>0</v>
      </c>
      <c r="O252" s="90">
        <f>IF(ROUND(O250,1)=0,0,N252+O251/B237)</f>
        <v>0</v>
      </c>
      <c r="P252" s="90">
        <f>IF(ROUND(P250,1)=0,0,O252+P251/B237)</f>
        <v>0</v>
      </c>
      <c r="Q252" s="90">
        <f>IF(ROUND(Q250,1)=0,0,P252+Q251/B237)</f>
        <v>0</v>
      </c>
      <c r="R252" s="344">
        <f>IF(ROUND(R250,1)=0,0,Q252+R251/B237)</f>
        <v>0</v>
      </c>
      <c r="S252" s="344">
        <f>IF(ROUND(S250,1)=0,0,R252+S251/B237)</f>
        <v>0</v>
      </c>
      <c r="T252" s="344">
        <f>IF(ROUND(T250,1)=0,0,S252+T251/B237)</f>
        <v>0</v>
      </c>
      <c r="U252" s="344">
        <f>IF(ROUND(U250,1)=0,0,T252+U251/B237)</f>
        <v>0</v>
      </c>
      <c r="V252" s="344">
        <f>IF(ROUND(V250,1)=0,0,U252+V251/B237)</f>
        <v>0</v>
      </c>
      <c r="W252" s="344">
        <f>IF(ROUND(W250,1)=0,0,V252+W251/B237)</f>
        <v>0</v>
      </c>
      <c r="X252" s="344">
        <f>IF(ROUND(X250,1)=0,0,W252+X251/B237)</f>
        <v>0</v>
      </c>
      <c r="Y252" s="344">
        <f>IF(ROUND(Y250,1)=0,0,X252+Y251/B237)</f>
        <v>0</v>
      </c>
      <c r="Z252" s="344">
        <f>IF(ROUND(Z250,1)=0,0,Y252+Z251/B237)</f>
        <v>0</v>
      </c>
      <c r="AA252" s="344">
        <f>IF(ROUND(AA250,1)=0,0,Z252+AA251/B237)</f>
        <v>0</v>
      </c>
    </row>
    <row r="253" spans="1:27" ht="16.5" thickBot="1">
      <c r="A253" s="85" t="s">
        <v>28</v>
      </c>
      <c r="B253" s="91">
        <f>AVERAGE(SUM(B250:B251),(SUM(B250:B251)-B252))*B239</f>
        <v>0</v>
      </c>
      <c r="C253" s="91">
        <f>AVERAGE(SUM(C250:C251),(SUM(C250:C251)-C252))*B239</f>
        <v>0</v>
      </c>
      <c r="D253" s="91">
        <f>AVERAGE(SUM(D250:D251),(SUM(D250:D251)-D252))*B239</f>
        <v>0</v>
      </c>
      <c r="E253" s="91">
        <f>AVERAGE(SUM(E250:E251),(SUM(E250:E251)-E252))*B239</f>
        <v>0</v>
      </c>
      <c r="F253" s="91">
        <f>AVERAGE(SUM(F250:F251),(SUM(F250:F251)-F252))*B239</f>
        <v>0</v>
      </c>
      <c r="G253" s="91">
        <f>AVERAGE(SUM(G250:G251),(SUM(G250:G251)-G252))*B239</f>
        <v>0</v>
      </c>
      <c r="H253" s="91">
        <f>AVERAGE(SUM(H250:H251),(SUM(H250:H251)-H252))*B239</f>
        <v>0</v>
      </c>
      <c r="I253" s="91">
        <f>AVERAGE(SUM(I250:I251),(SUM(I250:I251)-I252))*B239</f>
        <v>0</v>
      </c>
      <c r="J253" s="91">
        <f>AVERAGE(SUM(J250:J251),(SUM(J250:J251)-J252))*B239</f>
        <v>0</v>
      </c>
      <c r="K253" s="91">
        <f>AVERAGE(SUM(K250:K251),(SUM(K250:K251)-K252))*B239</f>
        <v>0</v>
      </c>
      <c r="L253" s="91">
        <f>AVERAGE(SUM(L250:L251),(SUM(L250:L251)-L252))*B239</f>
        <v>0</v>
      </c>
      <c r="M253" s="91">
        <f>AVERAGE(SUM(M250:M251),(SUM(M250:M251)-M252))*B239</f>
        <v>0</v>
      </c>
      <c r="N253" s="91">
        <f>AVERAGE(SUM(N250:N251),(SUM(N250:N251)-N252))*B239</f>
        <v>0</v>
      </c>
      <c r="O253" s="91">
        <f>AVERAGE(SUM(O250:O251),(SUM(O250:O251)-O252))*B239</f>
        <v>0</v>
      </c>
      <c r="P253" s="91">
        <f>AVERAGE(SUM(P250:P251),(SUM(P250:P251)-P252))*B239</f>
        <v>0</v>
      </c>
      <c r="Q253" s="91">
        <f>AVERAGE(SUM(Q250:Q251),(SUM(Q250:Q251)-Q252))*B239</f>
        <v>0</v>
      </c>
      <c r="R253" s="345">
        <f>AVERAGE(SUM(R250:R251),(SUM(R250:R251)-R252))*B239</f>
        <v>0</v>
      </c>
      <c r="S253" s="345">
        <f>AVERAGE(SUM(S250:S251),(SUM(S250:S251)-S252))*B239</f>
        <v>0</v>
      </c>
      <c r="T253" s="345">
        <f>AVERAGE(SUM(T250:T251),(SUM(T250:T251)-T252))*B239</f>
        <v>0</v>
      </c>
      <c r="U253" s="345">
        <f>AVERAGE(SUM(U250:U251),(SUM(U250:U251)-U252))*B239</f>
        <v>0</v>
      </c>
      <c r="V253" s="345">
        <f>AVERAGE(SUM(V250:V251),(SUM(V250:V251)-V252))*B239</f>
        <v>0</v>
      </c>
      <c r="W253" s="345">
        <f>AVERAGE(SUM(W250:W251),(SUM(W250:W251)-W252))*B239</f>
        <v>0</v>
      </c>
      <c r="X253" s="345">
        <f>AVERAGE(SUM(X250:X251),(SUM(X250:X251)-X252))*B239</f>
        <v>0</v>
      </c>
      <c r="Y253" s="345">
        <f>AVERAGE(SUM(Y250:Y251),(SUM(Y250:Y251)-Y252))*B239</f>
        <v>0</v>
      </c>
      <c r="Z253" s="345">
        <f>AVERAGE(SUM(Z250:Z251),(SUM(Z250:Z251)-Z252))*B239</f>
        <v>0</v>
      </c>
      <c r="AA253" s="345">
        <f>AVERAGE(SUM(AA250:AA251),(SUM(AA250:AA251)-AA252))*B239</f>
        <v>0</v>
      </c>
    </row>
    <row r="254" spans="1:27" ht="16.5" thickBot="1">
      <c r="A254" s="92"/>
      <c r="B254" s="93"/>
      <c r="C254" s="93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</row>
    <row r="255" spans="1:27" ht="47.25">
      <c r="A255" s="88" t="s">
        <v>29</v>
      </c>
      <c r="B255" s="78" t="s">
        <v>553</v>
      </c>
      <c r="C255" s="79">
        <f>C249</f>
        <v>2017</v>
      </c>
      <c r="D255" s="80">
        <f t="shared" ref="D255" si="627">C255+1</f>
        <v>2018</v>
      </c>
      <c r="E255" s="80">
        <f t="shared" ref="E255" si="628">D255+1</f>
        <v>2019</v>
      </c>
      <c r="F255" s="80">
        <f t="shared" ref="F255" si="629">E255+1</f>
        <v>2020</v>
      </c>
      <c r="G255" s="80">
        <f t="shared" ref="G255" si="630">F255+1</f>
        <v>2021</v>
      </c>
      <c r="H255" s="80">
        <f t="shared" ref="H255" si="631">G255+1</f>
        <v>2022</v>
      </c>
      <c r="I255" s="80">
        <f t="shared" ref="I255" si="632">H255+1</f>
        <v>2023</v>
      </c>
      <c r="J255" s="80">
        <f t="shared" ref="J255" si="633">I255+1</f>
        <v>2024</v>
      </c>
      <c r="K255" s="80">
        <f t="shared" ref="K255" si="634">J255+1</f>
        <v>2025</v>
      </c>
      <c r="L255" s="80">
        <f t="shared" ref="L255" si="635">K255+1</f>
        <v>2026</v>
      </c>
      <c r="M255" s="80">
        <f t="shared" ref="M255" si="636">L255+1</f>
        <v>2027</v>
      </c>
      <c r="N255" s="80">
        <f t="shared" ref="N255" si="637">M255+1</f>
        <v>2028</v>
      </c>
      <c r="O255" s="80">
        <f t="shared" ref="O255" si="638">N255+1</f>
        <v>2029</v>
      </c>
      <c r="P255" s="80">
        <f t="shared" ref="P255" si="639">O255+1</f>
        <v>2030</v>
      </c>
      <c r="Q255" s="80">
        <f t="shared" ref="Q255" si="640">P255+1</f>
        <v>2031</v>
      </c>
      <c r="R255" s="80">
        <f t="shared" ref="R255" si="641">Q255+1</f>
        <v>2032</v>
      </c>
      <c r="S255" s="80">
        <f t="shared" ref="S255" si="642">R255+1</f>
        <v>2033</v>
      </c>
      <c r="T255" s="80">
        <f t="shared" ref="T255" si="643">S255+1</f>
        <v>2034</v>
      </c>
      <c r="U255" s="80">
        <f t="shared" ref="U255" si="644">T255+1</f>
        <v>2035</v>
      </c>
      <c r="V255" s="80">
        <f t="shared" ref="V255" si="645">U255+1</f>
        <v>2036</v>
      </c>
      <c r="W255" s="80">
        <f t="shared" ref="W255" si="646">V255+1</f>
        <v>2037</v>
      </c>
      <c r="X255" s="80">
        <f t="shared" ref="X255" si="647">W255+1</f>
        <v>2038</v>
      </c>
      <c r="Y255" s="80">
        <f t="shared" ref="Y255" si="648">X255+1</f>
        <v>2039</v>
      </c>
      <c r="Z255" s="80">
        <f t="shared" ref="Z255" si="649">Y255+1</f>
        <v>2040</v>
      </c>
      <c r="AA255" s="80">
        <f t="shared" ref="AA255" si="650">Z255+1</f>
        <v>2041</v>
      </c>
    </row>
    <row r="256" spans="1:27">
      <c r="A256" s="94" t="s">
        <v>30</v>
      </c>
      <c r="B256" s="95"/>
      <c r="C256" s="95">
        <f>C247*B225</f>
        <v>347644.06779661012</v>
      </c>
      <c r="D256" s="95">
        <f>D247*B225</f>
        <v>362940.40677966096</v>
      </c>
      <c r="E256" s="95">
        <f>E247*B225</f>
        <v>378909.78467796603</v>
      </c>
      <c r="F256" s="95">
        <f>F247*B225</f>
        <v>395581.81520379655</v>
      </c>
      <c r="G256" s="95">
        <f>G247*B225</f>
        <v>412987.41507276363</v>
      </c>
      <c r="H256" s="95">
        <f>H247*B225</f>
        <v>431158.86133596522</v>
      </c>
      <c r="I256" s="95">
        <f>I247*B225</f>
        <v>450129.85123474774</v>
      </c>
      <c r="J256" s="95">
        <f>J247*B225</f>
        <v>469935.56468907668</v>
      </c>
      <c r="K256" s="95">
        <f>K247*B225</f>
        <v>490612.72953539609</v>
      </c>
      <c r="L256" s="95">
        <f>L247*B225</f>
        <v>512199.68963495357</v>
      </c>
      <c r="M256" s="95">
        <f>M247*B225</f>
        <v>534736.4759788916</v>
      </c>
      <c r="N256" s="95">
        <f>N247*B225</f>
        <v>558264.8809219629</v>
      </c>
      <c r="O256" s="95">
        <f>O247*B225</f>
        <v>582828.53568252933</v>
      </c>
      <c r="P256" s="95">
        <f>P247*B225</f>
        <v>608472.99125256063</v>
      </c>
      <c r="Q256" s="95">
        <f>Q247*B225</f>
        <v>635245.80286767334</v>
      </c>
      <c r="R256" s="95">
        <f>R247*B225</f>
        <v>663196.61819385097</v>
      </c>
      <c r="S256" s="95">
        <f>S247*B225</f>
        <v>692377.26939438039</v>
      </c>
      <c r="T256" s="95">
        <f>T247*B225</f>
        <v>722841.86924773315</v>
      </c>
      <c r="U256" s="95">
        <f>U247*B225</f>
        <v>754646.91149463342</v>
      </c>
      <c r="V256" s="95">
        <f>V247*B225</f>
        <v>787851.37560039735</v>
      </c>
      <c r="W256" s="95">
        <f>W247*B225</f>
        <v>822516.83612681483</v>
      </c>
      <c r="X256" s="95">
        <f>X247*B225</f>
        <v>858707.57691639476</v>
      </c>
      <c r="Y256" s="95">
        <f>Y247*B225</f>
        <v>896490.71030071611</v>
      </c>
      <c r="Z256" s="95">
        <f>Z247*B225</f>
        <v>935936.30155394762</v>
      </c>
      <c r="AA256" s="95">
        <f>AA247*B225</f>
        <v>977117.4988223213</v>
      </c>
    </row>
    <row r="257" spans="1:27">
      <c r="A257" s="89" t="s">
        <v>31</v>
      </c>
      <c r="B257" s="96"/>
      <c r="C257" s="96">
        <f>SUM(C258:C263)</f>
        <v>-17089.961018305086</v>
      </c>
      <c r="D257" s="96">
        <f t="shared" ref="D257:AA257" si="651">SUM(D258:D263)</f>
        <v>-18099.958173167011</v>
      </c>
      <c r="E257" s="96">
        <f t="shared" si="651"/>
        <v>-18924.501417532123</v>
      </c>
      <c r="F257" s="96">
        <f t="shared" si="651"/>
        <v>-72185.744903632352</v>
      </c>
      <c r="G257" s="96">
        <f t="shared" si="651"/>
        <v>-70877.870221765057</v>
      </c>
      <c r="H257" s="96">
        <f t="shared" si="651"/>
        <v>-69599.404986098991</v>
      </c>
      <c r="I257" s="96">
        <f t="shared" si="651"/>
        <v>-68351.643212267008</v>
      </c>
      <c r="J257" s="96">
        <f t="shared" si="651"/>
        <v>-67135.935852589813</v>
      </c>
      <c r="K257" s="96">
        <f t="shared" si="651"/>
        <v>-65953.693301290201</v>
      </c>
      <c r="L257" s="96">
        <f t="shared" si="651"/>
        <v>-64806.388009936796</v>
      </c>
      <c r="M257" s="96">
        <f t="shared" si="651"/>
        <v>-63695.557217967245</v>
      </c>
      <c r="N257" s="96">
        <f t="shared" si="651"/>
        <v>-62622.805803354408</v>
      </c>
      <c r="O257" s="96">
        <f t="shared" si="651"/>
        <v>-61589.809258702</v>
      </c>
      <c r="P257" s="96">
        <f t="shared" si="651"/>
        <v>-60598.316798288288</v>
      </c>
      <c r="Q257" s="96">
        <f t="shared" si="651"/>
        <v>-59650.154601819755</v>
      </c>
      <c r="R257" s="96">
        <f t="shared" si="651"/>
        <v>-58747.229200909991</v>
      </c>
      <c r="S257" s="96">
        <f t="shared" si="651"/>
        <v>-57891.531014563589</v>
      </c>
      <c r="T257" s="96">
        <f t="shared" si="651"/>
        <v>-57085.13804022134</v>
      </c>
      <c r="U257" s="96">
        <f t="shared" si="651"/>
        <v>-58306.490893652095</v>
      </c>
      <c r="V257" s="96">
        <f t="shared" si="651"/>
        <v>-59581.583272633805</v>
      </c>
      <c r="W257" s="96">
        <f t="shared" si="651"/>
        <v>-60912.779716290708</v>
      </c>
      <c r="X257" s="96">
        <f t="shared" si="651"/>
        <v>-62302.548803468526</v>
      </c>
      <c r="Y257" s="96">
        <f t="shared" si="651"/>
        <v>-63753.467730482153</v>
      </c>
      <c r="Z257" s="96">
        <f t="shared" si="651"/>
        <v>-65268.227090284381</v>
      </c>
      <c r="AA257" s="96">
        <f t="shared" si="651"/>
        <v>-66849.635861917923</v>
      </c>
    </row>
    <row r="258" spans="1:27">
      <c r="A258" s="97" t="s">
        <v>32</v>
      </c>
      <c r="B258" s="96"/>
      <c r="C258" s="96">
        <f>-IF(C244&lt;=B227,0,B226*(1+C246)*B225)</f>
        <v>-12248.479086101697</v>
      </c>
      <c r="D258" s="96">
        <f>-IF(D244&lt;=B227,0,B226*(1+D246)*B225)</f>
        <v>-12787.412165890173</v>
      </c>
      <c r="E258" s="96">
        <f>-IF(E244&lt;=B227,0,B226*(1+E246)*B225)</f>
        <v>-13350.058301189341</v>
      </c>
      <c r="F258" s="96">
        <f>-IF(F244&lt;=B227,0,B226*(1+F246)*B225)</f>
        <v>-13937.460866441676</v>
      </c>
      <c r="G258" s="96">
        <f>-IF(G244&lt;=B227,0,B226*(1+G246)*B225)</f>
        <v>-14550.709144565108</v>
      </c>
      <c r="H258" s="96">
        <f>-IF(H244&lt;=B227,0,B226*(1+H246)*B225)</f>
        <v>-15190.940346925974</v>
      </c>
      <c r="I258" s="96">
        <f>-IF(I244&lt;=B227,0,B226*(1+I246)*B225)</f>
        <v>-15859.341722190718</v>
      </c>
      <c r="J258" s="96">
        <f>-IF(J244&lt;=B227,0,B226*(1+J246)*B225)</f>
        <v>-16557.152757967109</v>
      </c>
      <c r="K258" s="96">
        <f>-IF(K244&lt;=B227,0,B226*(1+K246)*B225)</f>
        <v>-17285.667479317664</v>
      </c>
      <c r="L258" s="96">
        <f>-IF(L244&lt;=B227,0,B226*(1+L246)*B225)</f>
        <v>-18046.23684840764</v>
      </c>
      <c r="M258" s="96">
        <f>-IF(M244&lt;=B227,0,B226*(1+M246)*B225)</f>
        <v>-18840.271269737575</v>
      </c>
      <c r="N258" s="96">
        <f>-IF(N244&lt;=B227,0,B226*(1+N246)*B225)</f>
        <v>-19669.243205606032</v>
      </c>
      <c r="O258" s="96">
        <f>-IF(O244&lt;=B227,0,B226*(1+O246)*B225)</f>
        <v>-20534.689906652697</v>
      </c>
      <c r="P258" s="96">
        <f>-IF(P244&lt;=B227,0,B226*(1+P246)*B225)</f>
        <v>-21438.216262545418</v>
      </c>
      <c r="Q258" s="96">
        <f>-IF(Q244&lt;=B227,0,B226*(1+Q246)*B225)</f>
        <v>-22381.497778097419</v>
      </c>
      <c r="R258" s="96">
        <f>-IF(R244&lt;=B227,0,B226*(1+R246)*B225)</f>
        <v>-23366.283680333701</v>
      </c>
      <c r="S258" s="96">
        <f>-IF(S244&lt;=B227,0,B226*(1+S246)*B225)</f>
        <v>-24394.400162268386</v>
      </c>
      <c r="T258" s="96">
        <f>-IF(T244&lt;=B227,0,B226*(1+T246)*B225)</f>
        <v>-25467.753769408198</v>
      </c>
      <c r="U258" s="96">
        <f>-IF(U244&lt;=B227,0,B226*(1+U246)*B225)</f>
        <v>-26588.334935262159</v>
      </c>
      <c r="V258" s="96">
        <f>-IF(V244&lt;=B227,0,B226*(1+V246)*B225)</f>
        <v>-27758.221672413696</v>
      </c>
      <c r="W258" s="96">
        <f>-IF(W244&lt;=B227,0,B226*(1+W246)*B225)</f>
        <v>-28979.583425999899</v>
      </c>
      <c r="X258" s="96">
        <f>-IF(X244&lt;=B227,0,B226*(1+X246)*B225)</f>
        <v>-30254.685096743899</v>
      </c>
      <c r="Y258" s="96">
        <f>-IF(Y244&lt;=B227,0,B226*(1+Y246)*B225)</f>
        <v>-31585.891241000627</v>
      </c>
      <c r="Z258" s="96">
        <f>-IF(Z244&lt;=B227,0,B226*(1+Z246)*B225)</f>
        <v>-32975.670455604653</v>
      </c>
      <c r="AA258" s="96">
        <f>-IF(AA244&lt;=B227,0,B226*(1+AA246)*B225)</f>
        <v>-34426.599955651262</v>
      </c>
    </row>
    <row r="259" spans="1:27">
      <c r="A259" s="97" t="str">
        <f>A229</f>
        <v>Прочие расходы при эксплуатации объекта, руб. без НДС</v>
      </c>
      <c r="B259" s="96"/>
      <c r="C259" s="96">
        <f>-IF(C244&lt;=B230,0,B229*(1+C246)*B225)</f>
        <v>-1101.48193220339</v>
      </c>
      <c r="D259" s="96">
        <f>-IF(D244&lt;=B230,0,B229*(1+D246)*B225)</f>
        <v>-1149.9471372203393</v>
      </c>
      <c r="E259" s="96">
        <f>-IF(E244&lt;=B230,0,B229*(1+E246)*B225)</f>
        <v>-1200.5448112580343</v>
      </c>
      <c r="F259" s="96">
        <f>-IF(F244&lt;=B230,0,B229*(1+F246)*B225)</f>
        <v>-1253.3687829533878</v>
      </c>
      <c r="G259" s="96">
        <f>-IF(G244&lt;=B230,0,B229*(1+G246)*B225)</f>
        <v>-1308.5170094033369</v>
      </c>
      <c r="H259" s="96">
        <f>-IF(H244&lt;=B230,0,B229*(1+H246)*B225)</f>
        <v>-1366.0917578170838</v>
      </c>
      <c r="I259" s="96">
        <f>-IF(I244&lt;=B230,0,B229*(1+I246)*B225)</f>
        <v>-1426.1997951610356</v>
      </c>
      <c r="J259" s="96">
        <f>-IF(J244&lt;=B230,0,B229*(1+J246)*B225)</f>
        <v>-1488.9525861481213</v>
      </c>
      <c r="K259" s="96">
        <f>-IF(K244&lt;=B230,0,B229*(1+K246)*B225)</f>
        <v>-1554.4664999386387</v>
      </c>
      <c r="L259" s="96">
        <f>-IF(L244&lt;=B230,0,B229*(1+L246)*B225)</f>
        <v>-1622.8630259359386</v>
      </c>
      <c r="M259" s="96">
        <f>-IF(M244&lt;=B230,0,B229*(1+M246)*B225)</f>
        <v>-1694.26899907712</v>
      </c>
      <c r="N259" s="96">
        <f>-IF(N244&lt;=B230,0,B229*(1+N246)*B225)</f>
        <v>-1768.8168350365133</v>
      </c>
      <c r="O259" s="96">
        <f>-IF(O244&lt;=B230,0,B229*(1+O246)*B225)</f>
        <v>-1846.6447757781202</v>
      </c>
      <c r="P259" s="96">
        <f>-IF(P244&lt;=B230,0,B229*(1+P246)*B225)</f>
        <v>-1927.8971459123575</v>
      </c>
      <c r="Q259" s="96">
        <f>-IF(Q244&lt;=B230,0,B229*(1+Q246)*B225)</f>
        <v>-2012.7246203325014</v>
      </c>
      <c r="R259" s="96">
        <f>-IF(R244&lt;=B230,0,B229*(1+R246)*B225)</f>
        <v>-2101.2845036271315</v>
      </c>
      <c r="S259" s="96">
        <f>-IF(S244&lt;=B230,0,B229*(1+S246)*B225)</f>
        <v>-2193.7410217867255</v>
      </c>
      <c r="T259" s="96">
        <f>-IF(T244&lt;=B230,0,B229*(1+T246)*B225)</f>
        <v>-2290.2656267453413</v>
      </c>
      <c r="U259" s="96">
        <f>-IF(U244&lt;=B230,0,B229*(1+U246)*B225)</f>
        <v>-2391.0373143221364</v>
      </c>
      <c r="V259" s="96">
        <f>-IF(V244&lt;=B230,0,B229*(1+V246)*B225)</f>
        <v>-2496.2429561523104</v>
      </c>
      <c r="W259" s="96">
        <f>-IF(W244&lt;=B230,0,B229*(1+W246)*B225)</f>
        <v>-2606.0776462230124</v>
      </c>
      <c r="X259" s="96">
        <f>-IF(X244&lt;=B230,0,B229*(1+X246)*B225)</f>
        <v>-2720.7450626568252</v>
      </c>
      <c r="Y259" s="96">
        <f>-IF(Y244&lt;=B230,0,B229*(1+Y246)*B225)</f>
        <v>-2840.4578454137254</v>
      </c>
      <c r="Z259" s="96">
        <f>-IF(Z244&lt;=B230,0,B229*(1+Z246)*B225)</f>
        <v>-2965.4379906119293</v>
      </c>
      <c r="AA259" s="96">
        <f>-IF(AA244&lt;=B230,0,B229*(1+AA246)*B225)</f>
        <v>-3095.9172621988541</v>
      </c>
    </row>
    <row r="260" spans="1:27">
      <c r="A260" s="97" t="s">
        <v>290</v>
      </c>
      <c r="B260" s="96"/>
      <c r="C260" s="96"/>
      <c r="D260" s="96"/>
      <c r="E260" s="96"/>
      <c r="F260" s="96"/>
      <c r="G260" s="96"/>
      <c r="H260" s="96"/>
      <c r="I260" s="96"/>
      <c r="J260" s="96"/>
      <c r="K260" s="96"/>
      <c r="L260" s="96"/>
      <c r="M260" s="96"/>
      <c r="N260" s="96"/>
      <c r="O260" s="96"/>
      <c r="P260" s="96"/>
      <c r="Q260" s="96"/>
      <c r="R260" s="96"/>
      <c r="S260" s="96"/>
      <c r="T260" s="96"/>
      <c r="U260" s="96"/>
      <c r="V260" s="96"/>
      <c r="W260" s="96"/>
      <c r="X260" s="96"/>
      <c r="Y260" s="96"/>
      <c r="Z260" s="96"/>
      <c r="AA260" s="96"/>
    </row>
    <row r="261" spans="1:27">
      <c r="A261" s="97" t="s">
        <v>290</v>
      </c>
      <c r="B261" s="96"/>
      <c r="C261" s="96"/>
      <c r="D261" s="96"/>
      <c r="E261" s="96"/>
      <c r="F261" s="96"/>
      <c r="G261" s="96"/>
      <c r="H261" s="96"/>
      <c r="I261" s="96"/>
      <c r="J261" s="96"/>
      <c r="K261" s="96"/>
      <c r="L261" s="96"/>
      <c r="M261" s="96"/>
      <c r="N261" s="96"/>
      <c r="O261" s="96"/>
      <c r="P261" s="96"/>
      <c r="Q261" s="96"/>
      <c r="R261" s="96"/>
      <c r="S261" s="96"/>
      <c r="T261" s="96"/>
      <c r="U261" s="96"/>
      <c r="V261" s="96"/>
      <c r="W261" s="96"/>
      <c r="X261" s="96"/>
      <c r="Y261" s="96"/>
      <c r="Z261" s="96"/>
      <c r="AA261" s="96"/>
    </row>
    <row r="262" spans="1:27">
      <c r="A262" s="97" t="s">
        <v>290</v>
      </c>
      <c r="B262" s="96"/>
      <c r="C262" s="96"/>
      <c r="D262" s="96"/>
      <c r="E262" s="96"/>
      <c r="F262" s="96"/>
      <c r="G262" s="96"/>
      <c r="H262" s="96"/>
      <c r="I262" s="96"/>
      <c r="J262" s="96"/>
      <c r="K262" s="96"/>
      <c r="L262" s="96"/>
      <c r="M262" s="96"/>
      <c r="N262" s="96"/>
      <c r="O262" s="96"/>
      <c r="P262" s="96"/>
      <c r="Q262" s="96"/>
      <c r="R262" s="96"/>
      <c r="S262" s="96"/>
      <c r="T262" s="96"/>
      <c r="U262" s="96"/>
      <c r="V262" s="96"/>
      <c r="W262" s="96"/>
      <c r="X262" s="96"/>
      <c r="Y262" s="96"/>
      <c r="Z262" s="96"/>
      <c r="AA262" s="96"/>
    </row>
    <row r="263" spans="1:27">
      <c r="A263" s="97" t="s">
        <v>33</v>
      </c>
      <c r="B263" s="96"/>
      <c r="C263" s="96">
        <f>-(((B222+B223)*B225+(B222+B223)*B225+SUM(B265:C265))/2*2.2%*0+0.17*1000000*2.2%)</f>
        <v>-3740.0000000000005</v>
      </c>
      <c r="D263" s="96">
        <f>-(0.17*1000000-D265-C265)*2.2%</f>
        <v>-4162.5988700564976</v>
      </c>
      <c r="E263" s="96">
        <f>-(0.17*1000000-E265-D265-C265)*2.2%</f>
        <v>-4373.8983050847464</v>
      </c>
      <c r="F263" s="96">
        <f>-((B222+B223)*B225+(B222+B223)*B225+SUM(B265:F265))/2*2.2%</f>
        <v>-56994.91525423729</v>
      </c>
      <c r="G263" s="96">
        <f>-((B222+B223)*B225+(B222+B223)*B225+SUM(B265:G265))/2*2.2%</f>
        <v>-55018.644067796617</v>
      </c>
      <c r="H263" s="96">
        <f>-((B222+B223)*B225+(B222+B223)*B225+SUM(B265:H265))/2*2.2%</f>
        <v>-53042.372881355936</v>
      </c>
      <c r="I263" s="96">
        <f>-((B222+B223)*B225+(B222+B223)*B225+SUM(B265:I265))/2*2.2%</f>
        <v>-51066.101694915254</v>
      </c>
      <c r="J263" s="96">
        <f>-((B222+B223)*B225+(B222+B223)*B225+SUM(B265:J265))/2*2.2%</f>
        <v>-49089.830508474581</v>
      </c>
      <c r="K263" s="96">
        <f>-((B222+B223)*B225+(B222+B223)*B225+SUM(B265:K265))/2*2.2%</f>
        <v>-47113.5593220339</v>
      </c>
      <c r="L263" s="96">
        <f>-((B222+B223)*B225+(B222+B223)*B225+SUM(B265:L265))/2*2.2%</f>
        <v>-45137.288135593219</v>
      </c>
      <c r="M263" s="96">
        <f>-((B222+B223)*B225+(B222+B223)*B225+SUM(B265:M265))/2*2.2%</f>
        <v>-43161.016949152545</v>
      </c>
      <c r="N263" s="96">
        <f>-((B222+B223)*B225+(B222+B223)*B225+SUM(B265:N265))/2*2.2%</f>
        <v>-41184.745762711864</v>
      </c>
      <c r="O263" s="96">
        <f>-((B222+B223)*B225+(B222+B223)*B225+SUM(B265:O265))/2*2.2%</f>
        <v>-39208.474576271183</v>
      </c>
      <c r="P263" s="96">
        <f>-((B222+B223)*B225+(B222+B223)*B225+SUM(B265:P265))/2*2.2%</f>
        <v>-37232.203389830509</v>
      </c>
      <c r="Q263" s="96">
        <f>-((B222+B223)*B225+(B222+B223)*B225+SUM(B265:Q265))/2*2.2%</f>
        <v>-35255.932203389835</v>
      </c>
      <c r="R263" s="96">
        <f>-((B222+B223)*B225+(B222+B223)*B225+SUM(B265:R265))/2*2.2%</f>
        <v>-33279.661016949154</v>
      </c>
      <c r="S263" s="96">
        <f>-((B222+B223)*B225+(B222+B223)*B225+SUM(B265:S265))/2*2.2%</f>
        <v>-31303.389830508477</v>
      </c>
      <c r="T263" s="96">
        <f>-((B222+B223)*B225+(B222+B223)*B225+SUM(B265:T265))/2*2.2%</f>
        <v>-29327.118644067799</v>
      </c>
      <c r="U263" s="96">
        <f>-((B222+B223)*B225+(B222+B223)*B225+SUM(B265:U265))/2*2.2%</f>
        <v>-29327.118644067799</v>
      </c>
      <c r="V263" s="96">
        <f>-((B222+B223)*B225+(B222+B223)*B225+SUM(B265:V265))/2*2.2%</f>
        <v>-29327.118644067799</v>
      </c>
      <c r="W263" s="96">
        <f>-((B222+B223)*B225+(B222+B223)*B225+SUM(B265:W265))/2*2.2%</f>
        <v>-29327.118644067799</v>
      </c>
      <c r="X263" s="96">
        <f>-((B222+B223)*B225+(B222+B223)*B225+SUM(B265:X265))/2*2.2%</f>
        <v>-29327.118644067799</v>
      </c>
      <c r="Y263" s="96">
        <f>-((B222+B223)*B225+(B222+B223)*B225+SUM(B265:Y265))/2*2.2%</f>
        <v>-29327.118644067799</v>
      </c>
      <c r="Z263" s="96">
        <f>-((B222+B223)*B225+(B222+B223)*B225+SUM(B265:Z265))/2*2.2%</f>
        <v>-29327.118644067799</v>
      </c>
      <c r="AA263" s="96">
        <f>-((B222+B223)*B225+(B222+B223)*B225+SUM(B265:AA265))/2*2.2%</f>
        <v>-29327.118644067799</v>
      </c>
    </row>
    <row r="264" spans="1:27">
      <c r="A264" s="98" t="s">
        <v>114</v>
      </c>
      <c r="B264" s="95"/>
      <c r="C264" s="95">
        <f t="shared" ref="C264:AA264" si="652">C256+C257</f>
        <v>330554.10677830502</v>
      </c>
      <c r="D264" s="95">
        <f t="shared" si="652"/>
        <v>344840.44860649394</v>
      </c>
      <c r="E264" s="95">
        <f t="shared" si="652"/>
        <v>359985.28326043393</v>
      </c>
      <c r="F264" s="95">
        <f t="shared" si="652"/>
        <v>323396.07030016417</v>
      </c>
      <c r="G264" s="95">
        <f t="shared" si="652"/>
        <v>342109.54485099856</v>
      </c>
      <c r="H264" s="95">
        <f t="shared" si="652"/>
        <v>361559.45634986623</v>
      </c>
      <c r="I264" s="95">
        <f t="shared" si="652"/>
        <v>381778.20802248071</v>
      </c>
      <c r="J264" s="95">
        <f t="shared" si="652"/>
        <v>402799.62883648684</v>
      </c>
      <c r="K264" s="95">
        <f t="shared" si="652"/>
        <v>424659.03623410588</v>
      </c>
      <c r="L264" s="95">
        <f t="shared" si="652"/>
        <v>447393.30162501679</v>
      </c>
      <c r="M264" s="95">
        <f t="shared" si="652"/>
        <v>471040.91876092437</v>
      </c>
      <c r="N264" s="95">
        <f t="shared" si="652"/>
        <v>495642.07511860848</v>
      </c>
      <c r="O264" s="95">
        <f t="shared" si="652"/>
        <v>521238.72642382735</v>
      </c>
      <c r="P264" s="95">
        <f t="shared" si="652"/>
        <v>547874.67445427238</v>
      </c>
      <c r="Q264" s="95">
        <f t="shared" si="652"/>
        <v>575595.64826585352</v>
      </c>
      <c r="R264" s="95">
        <f t="shared" si="652"/>
        <v>604449.38899294101</v>
      </c>
      <c r="S264" s="95">
        <f t="shared" si="652"/>
        <v>634485.73837981676</v>
      </c>
      <c r="T264" s="95">
        <f t="shared" si="652"/>
        <v>665756.73120751185</v>
      </c>
      <c r="U264" s="95">
        <f t="shared" si="652"/>
        <v>696340.42060098134</v>
      </c>
      <c r="V264" s="95">
        <f t="shared" si="652"/>
        <v>728269.79232776351</v>
      </c>
      <c r="W264" s="95">
        <f t="shared" si="652"/>
        <v>761604.05641052406</v>
      </c>
      <c r="X264" s="95">
        <f t="shared" si="652"/>
        <v>796405.02811292629</v>
      </c>
      <c r="Y264" s="95">
        <f t="shared" si="652"/>
        <v>832737.242570234</v>
      </c>
      <c r="Z264" s="95">
        <f t="shared" si="652"/>
        <v>870668.07446366327</v>
      </c>
      <c r="AA264" s="95">
        <f t="shared" si="652"/>
        <v>910267.86296040332</v>
      </c>
    </row>
    <row r="265" spans="1:27">
      <c r="A265" s="97" t="s">
        <v>278</v>
      </c>
      <c r="B265" s="96"/>
      <c r="C265" s="96">
        <f>-0.17*1000000/1.18/15</f>
        <v>-9604.5197740112999</v>
      </c>
      <c r="D265" s="96">
        <f>C265</f>
        <v>-9604.5197740112999</v>
      </c>
      <c r="E265" s="96">
        <f>D265</f>
        <v>-9604.5197740112999</v>
      </c>
      <c r="F265" s="96">
        <f>IF(B222-ABS(SUM(B265:E265))&gt;0,-B222/B224,0)</f>
        <v>-179661.01694915254</v>
      </c>
      <c r="G265" s="96">
        <f>IF(B222-ABS(SUM(B265:F265))&gt;0,-B222/B224,0)</f>
        <v>-179661.01694915254</v>
      </c>
      <c r="H265" s="96">
        <f>IF(B222-ABS(SUM(B265:G265))&gt;0,-B222/B224,0)</f>
        <v>-179661.01694915254</v>
      </c>
      <c r="I265" s="96">
        <f>IF(B222-ABS(SUM(B265:H265))&gt;0,-B222/B224,0)</f>
        <v>-179661.01694915254</v>
      </c>
      <c r="J265" s="96">
        <f>IF(B222-ABS(SUM(B265:I265))&gt;0,-B222/B224,0)</f>
        <v>-179661.01694915254</v>
      </c>
      <c r="K265" s="96">
        <f>IF(B222-ABS(SUM(B265:J265))&gt;0,-B222/B224,0)</f>
        <v>-179661.01694915254</v>
      </c>
      <c r="L265" s="96">
        <f>IF(B222-ABS(SUM(B265:K265))&gt;0,-B222/B224,0)</f>
        <v>-179661.01694915254</v>
      </c>
      <c r="M265" s="96">
        <f>IF(B222-ABS(SUM(B265:L265))&gt;0,-B222/B224,0)</f>
        <v>-179661.01694915254</v>
      </c>
      <c r="N265" s="96">
        <f>IF(B222-ABS(SUM(B265:M265))&gt;0,-B222/B224,0)</f>
        <v>-179661.01694915254</v>
      </c>
      <c r="O265" s="96">
        <f>IF(B222-ABS(SUM(B265:N265))&gt;0,-B222/B224,0)</f>
        <v>-179661.01694915254</v>
      </c>
      <c r="P265" s="96">
        <f>IF(B222-ABS(SUM(B265:O265))&gt;0,-B222/B224,0)</f>
        <v>-179661.01694915254</v>
      </c>
      <c r="Q265" s="96">
        <f>IF(B222-ABS(SUM(B265:P265))&gt;0,-B222/B224,0)</f>
        <v>-179661.01694915254</v>
      </c>
      <c r="R265" s="96">
        <f>IF(B222-ABS(SUM(B265:Q265))&gt;0,-B222/B224,0)</f>
        <v>-179661.01694915254</v>
      </c>
      <c r="S265" s="96">
        <f>IF(B222-ABS(SUM(B265:R265))&gt;0,-B222/B224,0)</f>
        <v>-179661.01694915254</v>
      </c>
      <c r="T265" s="96">
        <f>IF(B222-ABS(SUM(B265:S265))&gt;0,-B222/B224,0)</f>
        <v>-179661.01694915254</v>
      </c>
      <c r="U265" s="96">
        <f>IF(B222-ABS(SUM(B265:T265))&gt;0,-B222/B224,0)</f>
        <v>0</v>
      </c>
      <c r="V265" s="96">
        <f>IF(B222-ABS(SUM(B265:U265))&gt;0,-B222/B224,0)</f>
        <v>0</v>
      </c>
      <c r="W265" s="96">
        <f>IF(B222-ABS(SUM(B265:V265))&gt;0,-B222/B224,0)</f>
        <v>0</v>
      </c>
      <c r="X265" s="96">
        <f>IF(B222-ABS(SUM(B265:W265))&gt;0,-B222/B224,0)</f>
        <v>0</v>
      </c>
      <c r="Y265" s="96">
        <f>IF(B222-ABS(SUM(B265:X265))&gt;0,-B222/B224,0)</f>
        <v>0</v>
      </c>
      <c r="Z265" s="96">
        <f>IF(B222-ABS(SUM(B265:Y265))&gt;0,-B222/B224,0)</f>
        <v>0</v>
      </c>
      <c r="AA265" s="96">
        <f>IF(B222-ABS(SUM(B265:Z265))&gt;0,-B222/B224,0)</f>
        <v>0</v>
      </c>
    </row>
    <row r="266" spans="1:27">
      <c r="A266" s="98" t="s">
        <v>34</v>
      </c>
      <c r="B266" s="95"/>
      <c r="C266" s="95">
        <f>C264+C265</f>
        <v>320949.58700429375</v>
      </c>
      <c r="D266" s="95">
        <f t="shared" ref="D266:AA266" si="653">D264+D265</f>
        <v>335235.92883248266</v>
      </c>
      <c r="E266" s="95">
        <f t="shared" si="653"/>
        <v>350380.76348642266</v>
      </c>
      <c r="F266" s="95">
        <f t="shared" si="653"/>
        <v>143735.05335101162</v>
      </c>
      <c r="G266" s="95">
        <f t="shared" si="653"/>
        <v>162448.52790184601</v>
      </c>
      <c r="H266" s="95">
        <f t="shared" si="653"/>
        <v>181898.43940071369</v>
      </c>
      <c r="I266" s="95">
        <f t="shared" si="653"/>
        <v>202117.19107332817</v>
      </c>
      <c r="J266" s="95">
        <f t="shared" si="653"/>
        <v>223138.61188733429</v>
      </c>
      <c r="K266" s="95">
        <f t="shared" si="653"/>
        <v>244998.01928495333</v>
      </c>
      <c r="L266" s="95">
        <f t="shared" si="653"/>
        <v>267732.28467586427</v>
      </c>
      <c r="M266" s="95">
        <f t="shared" si="653"/>
        <v>291379.90181177179</v>
      </c>
      <c r="N266" s="95">
        <f t="shared" si="653"/>
        <v>315981.05816945597</v>
      </c>
      <c r="O266" s="95">
        <f t="shared" si="653"/>
        <v>341577.70947467478</v>
      </c>
      <c r="P266" s="95">
        <f t="shared" si="653"/>
        <v>368213.6575051198</v>
      </c>
      <c r="Q266" s="95">
        <f t="shared" si="653"/>
        <v>395934.63131670095</v>
      </c>
      <c r="R266" s="95">
        <f t="shared" si="653"/>
        <v>424788.37204378843</v>
      </c>
      <c r="S266" s="95">
        <f t="shared" si="653"/>
        <v>454824.72143066418</v>
      </c>
      <c r="T266" s="95">
        <f t="shared" si="653"/>
        <v>486095.71425835928</v>
      </c>
      <c r="U266" s="95">
        <f t="shared" si="653"/>
        <v>696340.42060098134</v>
      </c>
      <c r="V266" s="95">
        <f t="shared" si="653"/>
        <v>728269.79232776351</v>
      </c>
      <c r="W266" s="95">
        <f t="shared" si="653"/>
        <v>761604.05641052406</v>
      </c>
      <c r="X266" s="95">
        <f t="shared" si="653"/>
        <v>796405.02811292629</v>
      </c>
      <c r="Y266" s="95">
        <f t="shared" si="653"/>
        <v>832737.242570234</v>
      </c>
      <c r="Z266" s="95">
        <f t="shared" si="653"/>
        <v>870668.07446366327</v>
      </c>
      <c r="AA266" s="95">
        <f t="shared" si="653"/>
        <v>910267.86296040332</v>
      </c>
    </row>
    <row r="267" spans="1:27">
      <c r="A267" s="97" t="s">
        <v>62</v>
      </c>
      <c r="B267" s="96">
        <f t="shared" ref="B267:AA267" si="654">-B253</f>
        <v>0</v>
      </c>
      <c r="C267" s="96">
        <f t="shared" si="654"/>
        <v>0</v>
      </c>
      <c r="D267" s="96">
        <f t="shared" si="654"/>
        <v>0</v>
      </c>
      <c r="E267" s="96">
        <f t="shared" si="654"/>
        <v>0</v>
      </c>
      <c r="F267" s="96">
        <f t="shared" si="654"/>
        <v>0</v>
      </c>
      <c r="G267" s="96">
        <f t="shared" si="654"/>
        <v>0</v>
      </c>
      <c r="H267" s="96">
        <f t="shared" si="654"/>
        <v>0</v>
      </c>
      <c r="I267" s="96">
        <f t="shared" si="654"/>
        <v>0</v>
      </c>
      <c r="J267" s="96">
        <f t="shared" si="654"/>
        <v>0</v>
      </c>
      <c r="K267" s="96">
        <f t="shared" si="654"/>
        <v>0</v>
      </c>
      <c r="L267" s="96">
        <f t="shared" si="654"/>
        <v>0</v>
      </c>
      <c r="M267" s="96">
        <f t="shared" si="654"/>
        <v>0</v>
      </c>
      <c r="N267" s="96">
        <f t="shared" si="654"/>
        <v>0</v>
      </c>
      <c r="O267" s="96">
        <f t="shared" si="654"/>
        <v>0</v>
      </c>
      <c r="P267" s="96">
        <f t="shared" si="654"/>
        <v>0</v>
      </c>
      <c r="Q267" s="96">
        <f t="shared" si="654"/>
        <v>0</v>
      </c>
      <c r="R267" s="96">
        <f t="shared" si="654"/>
        <v>0</v>
      </c>
      <c r="S267" s="96">
        <f t="shared" si="654"/>
        <v>0</v>
      </c>
      <c r="T267" s="96">
        <f t="shared" si="654"/>
        <v>0</v>
      </c>
      <c r="U267" s="96">
        <f t="shared" si="654"/>
        <v>0</v>
      </c>
      <c r="V267" s="96">
        <f t="shared" si="654"/>
        <v>0</v>
      </c>
      <c r="W267" s="96">
        <f t="shared" si="654"/>
        <v>0</v>
      </c>
      <c r="X267" s="96">
        <f t="shared" si="654"/>
        <v>0</v>
      </c>
      <c r="Y267" s="96">
        <f t="shared" si="654"/>
        <v>0</v>
      </c>
      <c r="Z267" s="96">
        <f t="shared" si="654"/>
        <v>0</v>
      </c>
      <c r="AA267" s="96">
        <f t="shared" si="654"/>
        <v>0</v>
      </c>
    </row>
    <row r="268" spans="1:27">
      <c r="A268" s="98" t="s">
        <v>35</v>
      </c>
      <c r="B268" s="95"/>
      <c r="C268" s="95">
        <f t="shared" ref="C268:AA268" si="655">C266+C267</f>
        <v>320949.58700429375</v>
      </c>
      <c r="D268" s="95">
        <f t="shared" si="655"/>
        <v>335235.92883248266</v>
      </c>
      <c r="E268" s="95">
        <f t="shared" si="655"/>
        <v>350380.76348642266</v>
      </c>
      <c r="F268" s="95">
        <f t="shared" si="655"/>
        <v>143735.05335101162</v>
      </c>
      <c r="G268" s="95">
        <f t="shared" si="655"/>
        <v>162448.52790184601</v>
      </c>
      <c r="H268" s="95">
        <f t="shared" si="655"/>
        <v>181898.43940071369</v>
      </c>
      <c r="I268" s="95">
        <f t="shared" si="655"/>
        <v>202117.19107332817</v>
      </c>
      <c r="J268" s="95">
        <f t="shared" si="655"/>
        <v>223138.61188733429</v>
      </c>
      <c r="K268" s="95">
        <f t="shared" si="655"/>
        <v>244998.01928495333</v>
      </c>
      <c r="L268" s="95">
        <f t="shared" si="655"/>
        <v>267732.28467586427</v>
      </c>
      <c r="M268" s="95">
        <f t="shared" si="655"/>
        <v>291379.90181177179</v>
      </c>
      <c r="N268" s="95">
        <f t="shared" si="655"/>
        <v>315981.05816945597</v>
      </c>
      <c r="O268" s="95">
        <f t="shared" si="655"/>
        <v>341577.70947467478</v>
      </c>
      <c r="P268" s="95">
        <f t="shared" si="655"/>
        <v>368213.6575051198</v>
      </c>
      <c r="Q268" s="95">
        <f t="shared" si="655"/>
        <v>395934.63131670095</v>
      </c>
      <c r="R268" s="95">
        <f t="shared" si="655"/>
        <v>424788.37204378843</v>
      </c>
      <c r="S268" s="95">
        <f t="shared" si="655"/>
        <v>454824.72143066418</v>
      </c>
      <c r="T268" s="95">
        <f t="shared" si="655"/>
        <v>486095.71425835928</v>
      </c>
      <c r="U268" s="95">
        <f t="shared" si="655"/>
        <v>696340.42060098134</v>
      </c>
      <c r="V268" s="95">
        <f t="shared" si="655"/>
        <v>728269.79232776351</v>
      </c>
      <c r="W268" s="95">
        <f t="shared" si="655"/>
        <v>761604.05641052406</v>
      </c>
      <c r="X268" s="95">
        <f t="shared" si="655"/>
        <v>796405.02811292629</v>
      </c>
      <c r="Y268" s="95">
        <f t="shared" si="655"/>
        <v>832737.242570234</v>
      </c>
      <c r="Z268" s="95">
        <f t="shared" si="655"/>
        <v>870668.07446366327</v>
      </c>
      <c r="AA268" s="95">
        <f t="shared" si="655"/>
        <v>910267.86296040332</v>
      </c>
    </row>
    <row r="269" spans="1:27">
      <c r="A269" s="97" t="s">
        <v>100</v>
      </c>
      <c r="B269" s="96"/>
      <c r="C269" s="96">
        <f>-C268*B233</f>
        <v>-64189.917400858751</v>
      </c>
      <c r="D269" s="96">
        <f>-D268*B233</f>
        <v>-67047.185766496536</v>
      </c>
      <c r="E269" s="96">
        <f>-E268*B233</f>
        <v>-70076.152697284531</v>
      </c>
      <c r="F269" s="96">
        <f>-F268*B233</f>
        <v>-28747.010670202326</v>
      </c>
      <c r="G269" s="96">
        <f>-G268*B233</f>
        <v>-32489.705580369206</v>
      </c>
      <c r="H269" s="96">
        <f>-H268*B233</f>
        <v>-36379.687880142737</v>
      </c>
      <c r="I269" s="96">
        <f>-I268*B233</f>
        <v>-40423.438214665635</v>
      </c>
      <c r="J269" s="96">
        <f>-J268*B233</f>
        <v>-44627.72237746686</v>
      </c>
      <c r="K269" s="96">
        <f>-K268*B233</f>
        <v>-48999.603856990667</v>
      </c>
      <c r="L269" s="96">
        <f>-L268*B233</f>
        <v>-53546.456935172857</v>
      </c>
      <c r="M269" s="96">
        <f>-M268*B233</f>
        <v>-58275.980362354363</v>
      </c>
      <c r="N269" s="96">
        <f>-N268*B233</f>
        <v>-63196.211633891195</v>
      </c>
      <c r="O269" s="96">
        <f>-O268*B233</f>
        <v>-68315.541894934955</v>
      </c>
      <c r="P269" s="96">
        <f>-P268*B233</f>
        <v>-73642.731501023969</v>
      </c>
      <c r="Q269" s="96">
        <f>-Q268*B233</f>
        <v>-79186.926263340196</v>
      </c>
      <c r="R269" s="96">
        <f>-R268*B233</f>
        <v>-84957.674408757695</v>
      </c>
      <c r="S269" s="96">
        <f>-S268*B233</f>
        <v>-90964.944286132843</v>
      </c>
      <c r="T269" s="96">
        <f>-T268*B233</f>
        <v>-97219.142851671859</v>
      </c>
      <c r="U269" s="96">
        <f>-U268*B233</f>
        <v>-139268.08412019626</v>
      </c>
      <c r="V269" s="96">
        <f>-V268*B233</f>
        <v>-145653.95846555271</v>
      </c>
      <c r="W269" s="96">
        <f>-W268*B233</f>
        <v>-152320.81128210481</v>
      </c>
      <c r="X269" s="96">
        <f>-X268*B233</f>
        <v>-159281.00562258527</v>
      </c>
      <c r="Y269" s="96">
        <f>-Y268*B233</f>
        <v>-166547.44851404682</v>
      </c>
      <c r="Z269" s="96">
        <f>-Z268*B233</f>
        <v>-174133.61489273267</v>
      </c>
      <c r="AA269" s="96">
        <f>-AA268*B233</f>
        <v>-182053.57259208069</v>
      </c>
    </row>
    <row r="270" spans="1:27" ht="16.5" thickBot="1">
      <c r="A270" s="99" t="s">
        <v>36</v>
      </c>
      <c r="B270" s="100"/>
      <c r="C270" s="100">
        <f t="shared" ref="C270:AA270" si="656">C268+C269</f>
        <v>256759.669603435</v>
      </c>
      <c r="D270" s="100">
        <f t="shared" si="656"/>
        <v>268188.74306598614</v>
      </c>
      <c r="E270" s="100">
        <f t="shared" si="656"/>
        <v>280304.61078913813</v>
      </c>
      <c r="F270" s="100">
        <f t="shared" si="656"/>
        <v>114988.0426808093</v>
      </c>
      <c r="G270" s="100">
        <f t="shared" si="656"/>
        <v>129958.82232147681</v>
      </c>
      <c r="H270" s="100">
        <f t="shared" si="656"/>
        <v>145518.75152057095</v>
      </c>
      <c r="I270" s="100">
        <f t="shared" si="656"/>
        <v>161693.75285866254</v>
      </c>
      <c r="J270" s="100">
        <f t="shared" si="656"/>
        <v>178510.88950986744</v>
      </c>
      <c r="K270" s="100">
        <f t="shared" si="656"/>
        <v>195998.41542796267</v>
      </c>
      <c r="L270" s="100">
        <f t="shared" si="656"/>
        <v>214185.82774069143</v>
      </c>
      <c r="M270" s="100">
        <f t="shared" si="656"/>
        <v>233103.92144941742</v>
      </c>
      <c r="N270" s="100">
        <f t="shared" si="656"/>
        <v>252784.84653556478</v>
      </c>
      <c r="O270" s="100">
        <f t="shared" si="656"/>
        <v>273262.16757973982</v>
      </c>
      <c r="P270" s="100">
        <f t="shared" si="656"/>
        <v>294570.92600409582</v>
      </c>
      <c r="Q270" s="100">
        <f t="shared" si="656"/>
        <v>316747.70505336078</v>
      </c>
      <c r="R270" s="100">
        <f t="shared" si="656"/>
        <v>339830.69763503072</v>
      </c>
      <c r="S270" s="100">
        <f t="shared" si="656"/>
        <v>363859.77714453137</v>
      </c>
      <c r="T270" s="100">
        <f t="shared" si="656"/>
        <v>388876.57140668744</v>
      </c>
      <c r="U270" s="100">
        <f t="shared" si="656"/>
        <v>557072.33648078504</v>
      </c>
      <c r="V270" s="100">
        <f t="shared" si="656"/>
        <v>582615.83386221086</v>
      </c>
      <c r="W270" s="100">
        <f t="shared" si="656"/>
        <v>609283.24512841925</v>
      </c>
      <c r="X270" s="100">
        <f t="shared" si="656"/>
        <v>637124.02249034098</v>
      </c>
      <c r="Y270" s="100">
        <f t="shared" si="656"/>
        <v>666189.79405618715</v>
      </c>
      <c r="Z270" s="100">
        <f t="shared" si="656"/>
        <v>696534.45957093057</v>
      </c>
      <c r="AA270" s="100">
        <f t="shared" si="656"/>
        <v>728214.29036832263</v>
      </c>
    </row>
    <row r="271" spans="1:27" s="487" customFormat="1" ht="16.5" thickBot="1">
      <c r="A271" s="485"/>
      <c r="B271" s="486"/>
      <c r="C271" s="486">
        <v>1</v>
      </c>
      <c r="D271" s="486">
        <f t="shared" ref="D271" si="657">+C271+1</f>
        <v>2</v>
      </c>
      <c r="E271" s="486">
        <f t="shared" ref="E271" si="658">+D271+1</f>
        <v>3</v>
      </c>
      <c r="F271" s="486">
        <f t="shared" ref="F271" si="659">+E271+1</f>
        <v>4</v>
      </c>
      <c r="G271" s="486">
        <f t="shared" ref="G271" si="660">+F271+1</f>
        <v>5</v>
      </c>
      <c r="H271" s="486">
        <f t="shared" ref="H271" si="661">+G271+1</f>
        <v>6</v>
      </c>
      <c r="I271" s="486">
        <f t="shared" ref="I271" si="662">+H271+1</f>
        <v>7</v>
      </c>
      <c r="J271" s="486">
        <f t="shared" ref="J271" si="663">+I271+1</f>
        <v>8</v>
      </c>
      <c r="K271" s="486">
        <f t="shared" ref="K271" si="664">+J271+1</f>
        <v>9</v>
      </c>
      <c r="L271" s="486">
        <f t="shared" ref="L271" si="665">+K271+1</f>
        <v>10</v>
      </c>
      <c r="M271" s="486">
        <f t="shared" ref="M271" si="666">+L271+1</f>
        <v>11</v>
      </c>
      <c r="N271" s="486">
        <f t="shared" ref="N271" si="667">+M271+1</f>
        <v>12</v>
      </c>
      <c r="O271" s="486">
        <f>+N271+1</f>
        <v>13</v>
      </c>
      <c r="P271" s="486">
        <f>+O271+1</f>
        <v>14</v>
      </c>
      <c r="Q271" s="486">
        <f>+P271+1</f>
        <v>15</v>
      </c>
      <c r="R271" s="486">
        <f t="shared" ref="R271" si="668">+Q271+1</f>
        <v>16</v>
      </c>
      <c r="S271" s="486">
        <f t="shared" ref="S271" si="669">+R271+1</f>
        <v>17</v>
      </c>
      <c r="T271" s="486">
        <f t="shared" ref="T271" si="670">+S271+1</f>
        <v>18</v>
      </c>
      <c r="U271" s="486">
        <f t="shared" ref="U271" si="671">+T271+1</f>
        <v>19</v>
      </c>
      <c r="V271" s="486">
        <f t="shared" ref="V271" si="672">+U271+1</f>
        <v>20</v>
      </c>
      <c r="W271" s="486">
        <f t="shared" ref="W271" si="673">+V271+1</f>
        <v>21</v>
      </c>
      <c r="X271" s="486">
        <f t="shared" ref="X271" si="674">+W271+1</f>
        <v>22</v>
      </c>
      <c r="Y271" s="486">
        <f t="shared" ref="Y271" si="675">+X271+1</f>
        <v>23</v>
      </c>
      <c r="Z271" s="486">
        <f t="shared" ref="Z271" si="676">+Y271+1</f>
        <v>24</v>
      </c>
      <c r="AA271" s="486">
        <f t="shared" ref="AA271" si="677">+Z271+1</f>
        <v>25</v>
      </c>
    </row>
    <row r="272" spans="1:27" ht="47.25">
      <c r="A272" s="88" t="s">
        <v>37</v>
      </c>
      <c r="B272" s="78" t="str">
        <f>B255</f>
        <v>год окончания 
строительства объекта 2016</v>
      </c>
      <c r="C272" s="79">
        <f>C255</f>
        <v>2017</v>
      </c>
      <c r="D272" s="80">
        <f t="shared" ref="D272" si="678">C272+1</f>
        <v>2018</v>
      </c>
      <c r="E272" s="80">
        <f t="shared" ref="E272" si="679">D272+1</f>
        <v>2019</v>
      </c>
      <c r="F272" s="80">
        <f t="shared" ref="F272" si="680">E272+1</f>
        <v>2020</v>
      </c>
      <c r="G272" s="80">
        <f t="shared" ref="G272" si="681">F272+1</f>
        <v>2021</v>
      </c>
      <c r="H272" s="80">
        <f t="shared" ref="H272" si="682">G272+1</f>
        <v>2022</v>
      </c>
      <c r="I272" s="80">
        <f t="shared" ref="I272" si="683">H272+1</f>
        <v>2023</v>
      </c>
      <c r="J272" s="80">
        <f t="shared" ref="J272" si="684">I272+1</f>
        <v>2024</v>
      </c>
      <c r="K272" s="80">
        <f t="shared" ref="K272" si="685">J272+1</f>
        <v>2025</v>
      </c>
      <c r="L272" s="80">
        <f t="shared" ref="L272" si="686">K272+1</f>
        <v>2026</v>
      </c>
      <c r="M272" s="80">
        <f t="shared" ref="M272" si="687">L272+1</f>
        <v>2027</v>
      </c>
      <c r="N272" s="80">
        <f t="shared" ref="N272" si="688">M272+1</f>
        <v>2028</v>
      </c>
      <c r="O272" s="80">
        <f t="shared" ref="O272" si="689">N272+1</f>
        <v>2029</v>
      </c>
      <c r="P272" s="80">
        <f t="shared" ref="P272" si="690">O272+1</f>
        <v>2030</v>
      </c>
      <c r="Q272" s="80">
        <f t="shared" ref="Q272" si="691">P272+1</f>
        <v>2031</v>
      </c>
      <c r="R272" s="80">
        <f t="shared" ref="R272" si="692">Q272+1</f>
        <v>2032</v>
      </c>
      <c r="S272" s="80">
        <f t="shared" ref="S272" si="693">R272+1</f>
        <v>2033</v>
      </c>
      <c r="T272" s="80">
        <f t="shared" ref="T272" si="694">S272+1</f>
        <v>2034</v>
      </c>
      <c r="U272" s="80">
        <f t="shared" ref="U272" si="695">T272+1</f>
        <v>2035</v>
      </c>
      <c r="V272" s="80">
        <f t="shared" ref="V272" si="696">U272+1</f>
        <v>2036</v>
      </c>
      <c r="W272" s="80">
        <f t="shared" ref="W272" si="697">V272+1</f>
        <v>2037</v>
      </c>
      <c r="X272" s="80">
        <f t="shared" ref="X272" si="698">W272+1</f>
        <v>2038</v>
      </c>
      <c r="Y272" s="80">
        <f t="shared" ref="Y272" si="699">X272+1</f>
        <v>2039</v>
      </c>
      <c r="Z272" s="80">
        <f t="shared" ref="Z272" si="700">Y272+1</f>
        <v>2040</v>
      </c>
      <c r="AA272" s="80">
        <f t="shared" ref="AA272" si="701">Z272+1</f>
        <v>2041</v>
      </c>
    </row>
    <row r="273" spans="1:27">
      <c r="A273" s="94" t="s">
        <v>34</v>
      </c>
      <c r="B273" s="95">
        <f t="shared" ref="B273" si="702">B266</f>
        <v>0</v>
      </c>
      <c r="C273" s="95">
        <f>C266</f>
        <v>320949.58700429375</v>
      </c>
      <c r="D273" s="95">
        <f t="shared" ref="D273:AA273" si="703">D266</f>
        <v>335235.92883248266</v>
      </c>
      <c r="E273" s="95">
        <f t="shared" si="703"/>
        <v>350380.76348642266</v>
      </c>
      <c r="F273" s="95">
        <f t="shared" si="703"/>
        <v>143735.05335101162</v>
      </c>
      <c r="G273" s="95">
        <f t="shared" si="703"/>
        <v>162448.52790184601</v>
      </c>
      <c r="H273" s="95">
        <f t="shared" si="703"/>
        <v>181898.43940071369</v>
      </c>
      <c r="I273" s="95">
        <f t="shared" si="703"/>
        <v>202117.19107332817</v>
      </c>
      <c r="J273" s="95">
        <f t="shared" si="703"/>
        <v>223138.61188733429</v>
      </c>
      <c r="K273" s="95">
        <f t="shared" si="703"/>
        <v>244998.01928495333</v>
      </c>
      <c r="L273" s="95">
        <f t="shared" si="703"/>
        <v>267732.28467586427</v>
      </c>
      <c r="M273" s="95">
        <f t="shared" si="703"/>
        <v>291379.90181177179</v>
      </c>
      <c r="N273" s="95">
        <f t="shared" si="703"/>
        <v>315981.05816945597</v>
      </c>
      <c r="O273" s="95">
        <f t="shared" si="703"/>
        <v>341577.70947467478</v>
      </c>
      <c r="P273" s="95">
        <f t="shared" si="703"/>
        <v>368213.6575051198</v>
      </c>
      <c r="Q273" s="95">
        <f t="shared" si="703"/>
        <v>395934.63131670095</v>
      </c>
      <c r="R273" s="95">
        <f t="shared" si="703"/>
        <v>424788.37204378843</v>
      </c>
      <c r="S273" s="95">
        <f t="shared" si="703"/>
        <v>454824.72143066418</v>
      </c>
      <c r="T273" s="95">
        <f t="shared" si="703"/>
        <v>486095.71425835928</v>
      </c>
      <c r="U273" s="95">
        <f t="shared" si="703"/>
        <v>696340.42060098134</v>
      </c>
      <c r="V273" s="95">
        <f t="shared" si="703"/>
        <v>728269.79232776351</v>
      </c>
      <c r="W273" s="95">
        <f t="shared" si="703"/>
        <v>761604.05641052406</v>
      </c>
      <c r="X273" s="95">
        <f t="shared" si="703"/>
        <v>796405.02811292629</v>
      </c>
      <c r="Y273" s="95">
        <f t="shared" si="703"/>
        <v>832737.242570234</v>
      </c>
      <c r="Z273" s="95">
        <f t="shared" si="703"/>
        <v>870668.07446366327</v>
      </c>
      <c r="AA273" s="95">
        <f t="shared" si="703"/>
        <v>910267.86296040332</v>
      </c>
    </row>
    <row r="274" spans="1:27">
      <c r="A274" s="97" t="s">
        <v>278</v>
      </c>
      <c r="B274" s="96">
        <f t="shared" ref="B274" si="704">-B265</f>
        <v>0</v>
      </c>
      <c r="C274" s="96">
        <f>-C265</f>
        <v>9604.5197740112999</v>
      </c>
      <c r="D274" s="96">
        <f t="shared" ref="D274:AA274" si="705">-D265</f>
        <v>9604.5197740112999</v>
      </c>
      <c r="E274" s="96">
        <f t="shared" si="705"/>
        <v>9604.5197740112999</v>
      </c>
      <c r="F274" s="96">
        <f t="shared" si="705"/>
        <v>179661.01694915254</v>
      </c>
      <c r="G274" s="96">
        <f t="shared" si="705"/>
        <v>179661.01694915254</v>
      </c>
      <c r="H274" s="96">
        <f t="shared" si="705"/>
        <v>179661.01694915254</v>
      </c>
      <c r="I274" s="96">
        <f t="shared" si="705"/>
        <v>179661.01694915254</v>
      </c>
      <c r="J274" s="96">
        <f t="shared" si="705"/>
        <v>179661.01694915254</v>
      </c>
      <c r="K274" s="96">
        <f t="shared" si="705"/>
        <v>179661.01694915254</v>
      </c>
      <c r="L274" s="96">
        <f t="shared" si="705"/>
        <v>179661.01694915254</v>
      </c>
      <c r="M274" s="96">
        <f t="shared" si="705"/>
        <v>179661.01694915254</v>
      </c>
      <c r="N274" s="96">
        <f t="shared" si="705"/>
        <v>179661.01694915254</v>
      </c>
      <c r="O274" s="96">
        <f t="shared" si="705"/>
        <v>179661.01694915254</v>
      </c>
      <c r="P274" s="96">
        <f t="shared" si="705"/>
        <v>179661.01694915254</v>
      </c>
      <c r="Q274" s="96">
        <f t="shared" si="705"/>
        <v>179661.01694915254</v>
      </c>
      <c r="R274" s="96">
        <f t="shared" si="705"/>
        <v>179661.01694915254</v>
      </c>
      <c r="S274" s="96">
        <f t="shared" si="705"/>
        <v>179661.01694915254</v>
      </c>
      <c r="T274" s="96">
        <f t="shared" si="705"/>
        <v>179661.01694915254</v>
      </c>
      <c r="U274" s="96">
        <f t="shared" si="705"/>
        <v>0</v>
      </c>
      <c r="V274" s="96">
        <f t="shared" si="705"/>
        <v>0</v>
      </c>
      <c r="W274" s="96">
        <f t="shared" si="705"/>
        <v>0</v>
      </c>
      <c r="X274" s="96">
        <f t="shared" si="705"/>
        <v>0</v>
      </c>
      <c r="Y274" s="96">
        <f t="shared" si="705"/>
        <v>0</v>
      </c>
      <c r="Z274" s="96">
        <f t="shared" si="705"/>
        <v>0</v>
      </c>
      <c r="AA274" s="96">
        <f t="shared" si="705"/>
        <v>0</v>
      </c>
    </row>
    <row r="275" spans="1:27">
      <c r="A275" s="97" t="s">
        <v>62</v>
      </c>
      <c r="B275" s="96">
        <f t="shared" ref="B275:AA275" si="706">B267</f>
        <v>0</v>
      </c>
      <c r="C275" s="96">
        <f t="shared" si="706"/>
        <v>0</v>
      </c>
      <c r="D275" s="96">
        <f t="shared" si="706"/>
        <v>0</v>
      </c>
      <c r="E275" s="96">
        <f t="shared" si="706"/>
        <v>0</v>
      </c>
      <c r="F275" s="96">
        <f t="shared" si="706"/>
        <v>0</v>
      </c>
      <c r="G275" s="96">
        <f t="shared" si="706"/>
        <v>0</v>
      </c>
      <c r="H275" s="96">
        <f t="shared" si="706"/>
        <v>0</v>
      </c>
      <c r="I275" s="96">
        <f t="shared" si="706"/>
        <v>0</v>
      </c>
      <c r="J275" s="96">
        <f t="shared" si="706"/>
        <v>0</v>
      </c>
      <c r="K275" s="96">
        <f t="shared" si="706"/>
        <v>0</v>
      </c>
      <c r="L275" s="96">
        <f t="shared" si="706"/>
        <v>0</v>
      </c>
      <c r="M275" s="96">
        <f t="shared" si="706"/>
        <v>0</v>
      </c>
      <c r="N275" s="96">
        <f t="shared" si="706"/>
        <v>0</v>
      </c>
      <c r="O275" s="96">
        <f t="shared" si="706"/>
        <v>0</v>
      </c>
      <c r="P275" s="96">
        <f t="shared" si="706"/>
        <v>0</v>
      </c>
      <c r="Q275" s="96">
        <f t="shared" si="706"/>
        <v>0</v>
      </c>
      <c r="R275" s="96">
        <f t="shared" si="706"/>
        <v>0</v>
      </c>
      <c r="S275" s="96">
        <f t="shared" si="706"/>
        <v>0</v>
      </c>
      <c r="T275" s="96">
        <f t="shared" si="706"/>
        <v>0</v>
      </c>
      <c r="U275" s="96">
        <f t="shared" si="706"/>
        <v>0</v>
      </c>
      <c r="V275" s="96">
        <f t="shared" si="706"/>
        <v>0</v>
      </c>
      <c r="W275" s="96">
        <f t="shared" si="706"/>
        <v>0</v>
      </c>
      <c r="X275" s="96">
        <f t="shared" si="706"/>
        <v>0</v>
      </c>
      <c r="Y275" s="96">
        <f t="shared" si="706"/>
        <v>0</v>
      </c>
      <c r="Z275" s="96">
        <f t="shared" si="706"/>
        <v>0</v>
      </c>
      <c r="AA275" s="96">
        <f t="shared" si="706"/>
        <v>0</v>
      </c>
    </row>
    <row r="276" spans="1:27">
      <c r="A276" s="97" t="s">
        <v>100</v>
      </c>
      <c r="B276" s="96">
        <f>IF(SUM(B269:B269)+SUM(A276:A276)&gt;0,0,SUM(B269:B269)-SUM(A276:A276))</f>
        <v>0</v>
      </c>
      <c r="C276" s="96">
        <f>IF(SUM(B269:C269)+SUM(A276:B276)&gt;0,0,SUM(B269:C269)-SUM(A276:B276))</f>
        <v>-64189.917400858751</v>
      </c>
      <c r="D276" s="96">
        <f>IF(SUM(B269:D269)+SUM(A276:C276)&gt;0,0,SUM(B269:D269)-SUM(A276:C276))</f>
        <v>-67047.18576649655</v>
      </c>
      <c r="E276" s="96">
        <f>IF(SUM(B269:E269)+SUM(A276:D276)&gt;0,0,SUM(B269:E269)-SUM(A276:D276))</f>
        <v>-70076.152697284531</v>
      </c>
      <c r="F276" s="96">
        <f>IF(SUM(B269:F269)+SUM(A276:E276)&gt;0,0,SUM(B269:F269)-SUM(A276:E276))</f>
        <v>-28747.010670202319</v>
      </c>
      <c r="G276" s="96">
        <f>IF(SUM(B269:G269)+SUM(A276:F276)&gt;0,0,SUM(B269:G269)-SUM(A276:F276))</f>
        <v>-32489.70558036922</v>
      </c>
      <c r="H276" s="96">
        <f>IF(SUM(B269:H269)+SUM(A276:G276)&gt;0,0,SUM(B269:H269)-SUM(A276:G276))</f>
        <v>-36379.687880142767</v>
      </c>
      <c r="I276" s="96">
        <f>IF(SUM(B269:I269)+SUM(A276:H276)&gt;0,0,SUM(B269:I269)-SUM(A276:H276))</f>
        <v>-40423.438214665628</v>
      </c>
      <c r="J276" s="96">
        <f>IF(SUM(B269:J269)+SUM(A276:I276)&gt;0,0,SUM(B269:J269)-SUM(A276:I276))</f>
        <v>-44627.722377466853</v>
      </c>
      <c r="K276" s="96">
        <f>IF(SUM(B269:K269)+SUM(A276:J276)&gt;0,0,SUM(B269:K269)-SUM(A276:J276))</f>
        <v>-48999.603856990696</v>
      </c>
      <c r="L276" s="96">
        <f>IF(SUM(B269:L269)+SUM(A276:K276)&gt;0,0,SUM(B269:L269)-SUM(A276:K276))</f>
        <v>-53546.456935172842</v>
      </c>
      <c r="M276" s="96">
        <f>IF(SUM(B269:M269)+SUM(A276:L276)&gt;0,0,SUM(B269:M269)-SUM(A276:L276))</f>
        <v>-58275.98036235437</v>
      </c>
      <c r="N276" s="96">
        <f>IF(SUM(B269:N269)+SUM(A276:M276)&gt;0,0,SUM(B269:N269)-SUM(A276:M276))</f>
        <v>-63196.211633891216</v>
      </c>
      <c r="O276" s="96">
        <f>IF(SUM(B269:O269)+SUM(A276:N276)&gt;0,0,SUM(B269:O269)-SUM(A276:N276))</f>
        <v>-68315.541894934955</v>
      </c>
      <c r="P276" s="96">
        <f>IF(SUM(B269:P269)+SUM(A276:O276)&gt;0,0,SUM(B269:P269)-SUM(A276:O276))</f>
        <v>-73642.731501023984</v>
      </c>
      <c r="Q276" s="96">
        <f>IF(SUM(B269:Q269)+SUM(A276:P276)&gt;0,0,SUM(B269:Q269)-SUM(A276:P276))</f>
        <v>-79186.926263340167</v>
      </c>
      <c r="R276" s="96">
        <f>IF(SUM(B269:R269)+SUM(A276:Q276)&gt;0,0,SUM(B269:R269)-SUM(A276:Q276))</f>
        <v>-84957.67440875771</v>
      </c>
      <c r="S276" s="96">
        <f>IF(SUM(B269:S269)+SUM(A276:R276)&gt;0,0,SUM(B269:S269)-SUM(A276:R276))</f>
        <v>-90964.944286132813</v>
      </c>
      <c r="T276" s="96">
        <f>IF(SUM(B269:T269)+SUM(A276:S276)&gt;0,0,SUM(B269:T269)-SUM(A276:S276))</f>
        <v>-97219.142851671786</v>
      </c>
      <c r="U276" s="96">
        <f>IF(SUM(B269:U269)+SUM(A276:T276)&gt;0,0,SUM(B269:U269)-SUM(A276:T276))</f>
        <v>-139268.08412019629</v>
      </c>
      <c r="V276" s="96">
        <f>IF(SUM(B269:V269)+SUM(A276:U276)&gt;0,0,SUM(B269:V269)-SUM(A276:U276))</f>
        <v>-145653.95846555266</v>
      </c>
      <c r="W276" s="96">
        <f>IF(SUM(B269:W269)+SUM(A276:V276)&gt;0,0,SUM(B269:W269)-SUM(A276:V276))</f>
        <v>-152320.81128210481</v>
      </c>
      <c r="X276" s="96">
        <f>IF(SUM(B269:X269)+SUM(A276:W276)&gt;0,0,SUM(B269:X269)-SUM(A276:W276))</f>
        <v>-159281.0056225853</v>
      </c>
      <c r="Y276" s="96">
        <f>IF(SUM(B269:Y269)+SUM(A276:X276)&gt;0,0,SUM(B269:Y269)-SUM(A276:X276))</f>
        <v>-166547.44851404685</v>
      </c>
      <c r="Z276" s="96">
        <f>IF(SUM(B269:Z269)+SUM(A276:Y276)&gt;0,0,SUM(B269:Z269)-SUM(A276:Y276))</f>
        <v>-174133.61489273258</v>
      </c>
      <c r="AA276" s="96">
        <f>IF(SUM(B269:AA269)+SUM(A276:Z276)&gt;0,0,SUM(B269:AA269)-SUM(A276:Z276))</f>
        <v>-182053.5725920808</v>
      </c>
    </row>
    <row r="277" spans="1:27">
      <c r="A277" s="97" t="s">
        <v>38</v>
      </c>
      <c r="B277" s="101">
        <f>IF(((SUM(B256:B256)+SUM(B258:B262))+SUM(B279:B279))&lt;0,((SUM(B256:B256)+SUM(B258:B262))+SUM(B279:B279))*0.18-SUM(A277:A277),IF(SUM(A277:B277)&lt;0,0-SUM(A277:B277),0))</f>
        <v>-485084.74576271186</v>
      </c>
      <c r="C277" s="101">
        <f>IF(((SUM(B256:C256)+SUM(B258:C262))+SUM(B279:C279))&lt;0,((SUM(B256:C256)+SUM(B258:C262))+SUM(B279:C279))*0.18-SUM(A277:B277),IF(SUM(B277:B277)&lt;0,0-SUM(B277:B277),0))</f>
        <v>60172.939220094937</v>
      </c>
      <c r="D277" s="101">
        <f>IF(((SUM(B256:D256)+SUM(B258:D262))+SUM(B279:D279))&lt;0,((SUM(B256:D256)+SUM(B258:D262))+SUM(B279:D279))*0.18-SUM(A277:C277),IF(SUM(B277:C277)&lt;0,0-SUM(B277:C277),0))</f>
        <v>62820.548545779078</v>
      </c>
      <c r="E277" s="101">
        <f>IF(((SUM(B256:E256)+SUM(B258:E262))+SUM(B279:E279))&lt;0,((SUM(B256:E256)+SUM(B258:E262))+SUM(B279:E279))*0.18-SUM(A277:D277),IF(SUM(B277:D277)&lt;0,0-SUM(B277:D277),0))</f>
        <v>65584.652681793319</v>
      </c>
      <c r="F277" s="101">
        <f>IF(((SUM(B256:F256)+SUM(B258:F262))+SUM(B279:F279))&lt;0,((SUM(B256:F256)+SUM(B258:F262))+SUM(B279:F279))*0.18-SUM(A277:E277),IF(SUM(B277:E277)&lt;0,0-SUM(B277:E277),0))</f>
        <v>68470.377399792313</v>
      </c>
      <c r="G277" s="101">
        <f>IF(((SUM(B256:G256)+SUM(B258:G262))+SUM(B279:G279))&lt;0,((SUM(B256:G256)+SUM(B258:G262))+SUM(B279:G279))*0.18-SUM(A277:F277),IF(SUM(B277:F277)&lt;0,0-SUM(B277:F277),0))</f>
        <v>71483.074005383096</v>
      </c>
      <c r="H277" s="101">
        <f>IF(((SUM(B256:H256)+SUM(B258:H262))+SUM(B279:H279))&lt;0,((SUM(B256:H256)+SUM(B258:H262))+SUM(B279:H279))*0.18-SUM(A277:G277),IF(SUM(B277:G277)&lt;0,0-SUM(B277:G277),0))</f>
        <v>74628.329261619991</v>
      </c>
      <c r="I277" s="101">
        <f>IF(((SUM(B256:I256)+SUM(B258:I262))+SUM(B279:I279))&lt;0,((SUM(B256:I256)+SUM(B258:I262))+SUM(B279:I279))*0.18-SUM(A277:H277),IF(SUM(B277:H277)&lt;0,0-SUM(B277:H277),0))</f>
        <v>77911.975749131234</v>
      </c>
      <c r="J277" s="101">
        <f>IF(((SUM(B256:J256)+SUM(B258:J262))+SUM(B279:J279))&lt;0,((SUM(B256:J256)+SUM(B258:J262))+SUM(B279:J279))*0.18-SUM(A277:I277),IF(SUM(B277:I277)&lt;0,0-SUM(B277:I277),0))</f>
        <v>4012.8488991178892</v>
      </c>
      <c r="K277" s="101">
        <f>IF(((SUM(B256:K256)+SUM(B258:K262))+SUM(B279:K279))&lt;0,((SUM(B256:K256)+SUM(B258:K262))+SUM(B279:K279))*0.18-SUM(A277:J277),IF(SUM(B277:J277)&lt;0,0-SUM(B277:J277),0))</f>
        <v>0</v>
      </c>
      <c r="L277" s="101">
        <f>IF(((SUM(B256:L256)+SUM(B258:L262))+SUM(B279:L279))&lt;0,((SUM(B256:L256)+SUM(B258:L262))+SUM(B279:L279))*0.18-SUM(A277:K277),IF(SUM(B277:K277)&lt;0,0-SUM(B277:K277),0))</f>
        <v>0</v>
      </c>
      <c r="M277" s="101">
        <f>IF(((SUM(B256:M256)+SUM(B258:M262))+SUM(B279:M279))&lt;0,((SUM(B256:M256)+SUM(B258:M262))+SUM(B279:M279))*0.18-SUM(A277:L277),IF(SUM(B277:L277)&lt;0,0-SUM(B277:L277),0))</f>
        <v>0</v>
      </c>
      <c r="N277" s="101">
        <f>IF(((SUM(B256:N256)+SUM(B258:N262))+SUM(B279:N279))&lt;0,((SUM(B256:N256)+SUM(B258:N262))+SUM(B279:N279))*0.18-SUM(A277:M277),IF(SUM(B277:M277)&lt;0,0-SUM(B277:M277),0))</f>
        <v>0</v>
      </c>
      <c r="O277" s="101">
        <f>IF(((SUM(B256:O256)+SUM(B258:O262))+SUM(B279:O279))&lt;0,((SUM(B256:O256)+SUM(B258:O262))+SUM(B279:O279))*0.18-SUM(A277:N277),IF(SUM(B277:N277)&lt;0,0-SUM(B277:N277),0))</f>
        <v>0</v>
      </c>
      <c r="P277" s="101">
        <f>IF(((SUM(B256:P256)+SUM(B258:P262))+SUM(B279:P279))&lt;0,((SUM(B256:P256)+SUM(B258:P262))+SUM(B279:P279))*0.18-SUM(A277:O277),IF(SUM(B277:O277)&lt;0,0-SUM(B277:O277),0))</f>
        <v>0</v>
      </c>
      <c r="Q277" s="101">
        <f>IF(((SUM(B256:Q256)+SUM(B258:Q262))+SUM(B279:Q279))&lt;0,((SUM(B256:Q256)+SUM(B258:Q262))+SUM(B279:Q279))*0.18-SUM(A277:P277),IF(SUM(B277:P277)&lt;0,0-SUM(B277:P277),0))</f>
        <v>0</v>
      </c>
      <c r="R277" s="101">
        <f>IF(((SUM(B256:R256)+SUM(B258:R262))+SUM(B279:R279))&lt;0,((SUM(B256:R256)+SUM(B258:R262))+SUM(B279:R279))*0.18-SUM(A277:Q277),IF(SUM(B277:Q277)&lt;0,0-SUM(B277:Q277),0))</f>
        <v>0</v>
      </c>
      <c r="S277" s="101">
        <f>IF(((SUM(B256:S256)+SUM(B258:S262))+SUM(B279:S279))&lt;0,((SUM(B256:S256)+SUM(B258:S262))+SUM(B279:S279))*0.18-SUM(A277:R277),IF(SUM(B277:R277)&lt;0,0-SUM(B277:R277),0))</f>
        <v>0</v>
      </c>
      <c r="T277" s="101">
        <f>IF(((SUM(B256:T256)+SUM(B258:T262))+SUM(B279:T279))&lt;0,((SUM(B256:T256)+SUM(B258:T262))+SUM(B279:T279))*0.18-SUM(A277:S277),IF(SUM(B277:S277)&lt;0,0-SUM(B277:S277),0))</f>
        <v>0</v>
      </c>
      <c r="U277" s="101">
        <f>IF(((SUM(B256:U256)+SUM(B258:U262))+SUM(B279:U279))&lt;0,((SUM(B256:U256)+SUM(B258:U262))+SUM(B279:U279))*0.18-SUM(A277:T277),IF(SUM(B277:T277)&lt;0,0-SUM(B277:T277),0))</f>
        <v>0</v>
      </c>
      <c r="V277" s="101">
        <f>IF(((SUM(B256:V256)+SUM(B258:V262))+SUM(B279:V279))&lt;0,((SUM(B256:V256)+SUM(B258:V262))+SUM(B279:V279))*0.18-SUM(A277:U277),IF(SUM(B277:U277)&lt;0,0-SUM(B277:U277),0))</f>
        <v>0</v>
      </c>
      <c r="W277" s="101">
        <f>IF(((SUM(B256:W256)+SUM(B258:W262))+SUM(B279:W279))&lt;0,((SUM(B256:W256)+SUM(B258:W262))+SUM(B279:W279))*0.18-SUM(A277:V277),IF(SUM(B277:V277)&lt;0,0-SUM(B277:V277),0))</f>
        <v>0</v>
      </c>
      <c r="X277" s="101">
        <f>IF(((SUM(B256:X256)+SUM(B258:X262))+SUM(B279:X279))&lt;0,((SUM(B256:X256)+SUM(B258:X262))+SUM(B279:X279))*0.18-SUM(A277:W277),IF(SUM(B277:W277)&lt;0,0-SUM(B277:W277),0))</f>
        <v>0</v>
      </c>
      <c r="Y277" s="101">
        <f>IF(((SUM(B256:Y256)+SUM(B258:Y262))+SUM(B279:Y279))&lt;0,((SUM(B256:Y256)+SUM(B258:Y262))+SUM(B279:Y279))*0.18-SUM(A277:X277),IF(SUM(B277:X277)&lt;0,0-SUM(B277:X277),0))</f>
        <v>0</v>
      </c>
      <c r="Z277" s="101">
        <f>IF(((SUM(B256:Z256)+SUM(B258:Z262))+SUM(B279:Z279))&lt;0,((SUM(B256:Z256)+SUM(B258:Z262))+SUM(B279:Z279))*0.18-SUM(A277:Y277),IF(SUM(B277:Y277)&lt;0,0-SUM(B277:Y277),0))</f>
        <v>0</v>
      </c>
      <c r="AA277" s="101">
        <f>IF(((SUM(B256:AA256)+SUM(B258:AA262))+SUM(B279:AA279))&lt;0,((SUM(B256:AA256)+SUM(B258:AA262))+SUM(B279:AA279))*0.18-SUM(A277:Z277),IF(SUM(B277:Z277)&lt;0,0-SUM(B277:Z277),0))</f>
        <v>0</v>
      </c>
    </row>
    <row r="278" spans="1:27">
      <c r="A278" s="97" t="s">
        <v>39</v>
      </c>
      <c r="B278" s="96">
        <f>-B256*(B236)</f>
        <v>0</v>
      </c>
      <c r="C278" s="96">
        <f>-(C256-B256)*B236</f>
        <v>-34764.406779661011</v>
      </c>
      <c r="D278" s="96">
        <f>-(D256-C256)*B236</f>
        <v>-1529.6338983050839</v>
      </c>
      <c r="E278" s="96">
        <f>-(E256-D256)*B236</f>
        <v>-1596.9377898305074</v>
      </c>
      <c r="F278" s="96">
        <f>-(F256-E256)*B236</f>
        <v>-1667.2030525830517</v>
      </c>
      <c r="G278" s="96">
        <f>-(G256-F256)*B236</f>
        <v>-1740.5599868967083</v>
      </c>
      <c r="H278" s="96">
        <f>-(H256-G256)*B236</f>
        <v>-1817.1446263201594</v>
      </c>
      <c r="I278" s="96">
        <f>-(I256-H256)*B236</f>
        <v>-1897.0989898782516</v>
      </c>
      <c r="J278" s="96">
        <f>-(J256-I256)*B236</f>
        <v>-1980.5713454328943</v>
      </c>
      <c r="K278" s="96">
        <f>-(K256-J256)*B236</f>
        <v>-2067.7164846319415</v>
      </c>
      <c r="L278" s="96">
        <f>-(L256-K256)*B236</f>
        <v>-2158.6960099557473</v>
      </c>
      <c r="M278" s="96">
        <f>-(M256-L256)*B236</f>
        <v>-2253.6786343938033</v>
      </c>
      <c r="N278" s="96">
        <f>-(N256-M256)*B236</f>
        <v>-2352.8404943071305</v>
      </c>
      <c r="O278" s="96">
        <f>-(O256-N256)*B236</f>
        <v>-2456.3654760566424</v>
      </c>
      <c r="P278" s="96">
        <f>-(P256-O256)*B236</f>
        <v>-2564.4455570031309</v>
      </c>
      <c r="Q278" s="96">
        <f>-(Q256-P256)*B236</f>
        <v>-2677.2811615112705</v>
      </c>
      <c r="R278" s="96">
        <f>-(R256-Q256)*B236</f>
        <v>-2795.0815326177635</v>
      </c>
      <c r="S278" s="96">
        <f>-(S256-R256)*B236</f>
        <v>-2918.0651200529423</v>
      </c>
      <c r="T278" s="96">
        <f>-(T256-S256)*B236</f>
        <v>-3046.4599853352761</v>
      </c>
      <c r="U278" s="96">
        <f>-(U256-T256)*B236</f>
        <v>-3180.5042246900266</v>
      </c>
      <c r="V278" s="96">
        <f>-(V256-U256)*B236</f>
        <v>-3320.4464105763941</v>
      </c>
      <c r="W278" s="96">
        <f>-(W256-V256)*B236</f>
        <v>-3466.5460526417478</v>
      </c>
      <c r="X278" s="96">
        <f>-(X256-W256)*B236</f>
        <v>-3619.0740789579927</v>
      </c>
      <c r="Y278" s="96">
        <f>-(Y256-X256)*B236</f>
        <v>-3778.3133384321354</v>
      </c>
      <c r="Z278" s="96">
        <f>-(Z256-Y256)*B236</f>
        <v>-3944.5591253231514</v>
      </c>
      <c r="AA278" s="96">
        <f>-(AA256-Z256)*B236</f>
        <v>-4118.119726837368</v>
      </c>
    </row>
    <row r="279" spans="1:27">
      <c r="A279" s="97" t="s">
        <v>40</v>
      </c>
      <c r="B279" s="96">
        <f>-(B222+B223)*B225</f>
        <v>-2694915.2542372881</v>
      </c>
      <c r="C279" s="96"/>
      <c r="D279" s="96"/>
      <c r="E279" s="96"/>
      <c r="F279" s="96"/>
      <c r="G279" s="96"/>
      <c r="H279" s="96"/>
      <c r="I279" s="96"/>
      <c r="J279" s="96"/>
      <c r="K279" s="96"/>
      <c r="L279" s="96"/>
      <c r="M279" s="96"/>
      <c r="N279" s="96"/>
      <c r="O279" s="96"/>
      <c r="P279" s="96"/>
      <c r="Q279" s="96"/>
      <c r="R279" s="96"/>
      <c r="S279" s="96"/>
      <c r="T279" s="96"/>
      <c r="U279" s="96"/>
      <c r="V279" s="96"/>
      <c r="W279" s="96"/>
      <c r="X279" s="96"/>
      <c r="Y279" s="96"/>
      <c r="Z279" s="96"/>
      <c r="AA279" s="96"/>
    </row>
    <row r="280" spans="1:27">
      <c r="A280" s="97" t="s">
        <v>41</v>
      </c>
      <c r="B280" s="96">
        <f t="shared" ref="B280:AA280" si="707">B251-B252</f>
        <v>0</v>
      </c>
      <c r="C280" s="96">
        <f t="shared" si="707"/>
        <v>0</v>
      </c>
      <c r="D280" s="96">
        <f t="shared" si="707"/>
        <v>0</v>
      </c>
      <c r="E280" s="96">
        <f t="shared" si="707"/>
        <v>0</v>
      </c>
      <c r="F280" s="96">
        <f t="shared" si="707"/>
        <v>0</v>
      </c>
      <c r="G280" s="96">
        <f t="shared" si="707"/>
        <v>0</v>
      </c>
      <c r="H280" s="96">
        <f t="shared" si="707"/>
        <v>0</v>
      </c>
      <c r="I280" s="96">
        <f t="shared" si="707"/>
        <v>0</v>
      </c>
      <c r="J280" s="96">
        <f t="shared" si="707"/>
        <v>0</v>
      </c>
      <c r="K280" s="96">
        <f t="shared" si="707"/>
        <v>0</v>
      </c>
      <c r="L280" s="96">
        <f t="shared" si="707"/>
        <v>0</v>
      </c>
      <c r="M280" s="96">
        <f t="shared" si="707"/>
        <v>0</v>
      </c>
      <c r="N280" s="96">
        <f t="shared" si="707"/>
        <v>0</v>
      </c>
      <c r="O280" s="96">
        <f t="shared" si="707"/>
        <v>0</v>
      </c>
      <c r="P280" s="96">
        <f t="shared" si="707"/>
        <v>0</v>
      </c>
      <c r="Q280" s="96">
        <f t="shared" si="707"/>
        <v>0</v>
      </c>
      <c r="R280" s="96">
        <f t="shared" si="707"/>
        <v>0</v>
      </c>
      <c r="S280" s="96">
        <f t="shared" si="707"/>
        <v>0</v>
      </c>
      <c r="T280" s="96">
        <f t="shared" si="707"/>
        <v>0</v>
      </c>
      <c r="U280" s="96">
        <f t="shared" si="707"/>
        <v>0</v>
      </c>
      <c r="V280" s="96">
        <f t="shared" si="707"/>
        <v>0</v>
      </c>
      <c r="W280" s="96">
        <f t="shared" si="707"/>
        <v>0</v>
      </c>
      <c r="X280" s="96">
        <f t="shared" si="707"/>
        <v>0</v>
      </c>
      <c r="Y280" s="96">
        <f t="shared" si="707"/>
        <v>0</v>
      </c>
      <c r="Z280" s="96">
        <f t="shared" si="707"/>
        <v>0</v>
      </c>
      <c r="AA280" s="96">
        <f t="shared" si="707"/>
        <v>0</v>
      </c>
    </row>
    <row r="281" spans="1:27">
      <c r="A281" s="102" t="s">
        <v>42</v>
      </c>
      <c r="B281" s="95">
        <f t="shared" ref="B281:AA281" si="708">SUM(B273:B280)</f>
        <v>-3180000</v>
      </c>
      <c r="C281" s="95">
        <f t="shared" si="708"/>
        <v>291772.72181788017</v>
      </c>
      <c r="D281" s="95">
        <f t="shared" si="708"/>
        <v>339084.17748747143</v>
      </c>
      <c r="E281" s="95">
        <f t="shared" si="708"/>
        <v>353896.84545511223</v>
      </c>
      <c r="F281" s="95">
        <f t="shared" si="708"/>
        <v>361452.23397717113</v>
      </c>
      <c r="G281" s="95">
        <f t="shared" si="708"/>
        <v>379362.35328911571</v>
      </c>
      <c r="H281" s="95">
        <f t="shared" si="708"/>
        <v>397990.95310502331</v>
      </c>
      <c r="I281" s="95">
        <f t="shared" si="708"/>
        <v>417369.64656706806</v>
      </c>
      <c r="J281" s="95">
        <f t="shared" si="708"/>
        <v>360204.18401270499</v>
      </c>
      <c r="K281" s="95">
        <f t="shared" si="708"/>
        <v>373591.71589248325</v>
      </c>
      <c r="L281" s="95">
        <f t="shared" si="708"/>
        <v>391688.14867988823</v>
      </c>
      <c r="M281" s="95">
        <f t="shared" si="708"/>
        <v>410511.25976417621</v>
      </c>
      <c r="N281" s="95">
        <f t="shared" si="708"/>
        <v>430093.02299041022</v>
      </c>
      <c r="O281" s="95">
        <f t="shared" si="708"/>
        <v>450466.81905283575</v>
      </c>
      <c r="P281" s="95">
        <f t="shared" si="708"/>
        <v>471667.49739624525</v>
      </c>
      <c r="Q281" s="95">
        <f t="shared" si="708"/>
        <v>493731.4408410021</v>
      </c>
      <c r="R281" s="95">
        <f t="shared" si="708"/>
        <v>516696.63305156556</v>
      </c>
      <c r="S281" s="95">
        <f t="shared" si="708"/>
        <v>540602.72897363105</v>
      </c>
      <c r="T281" s="95">
        <f t="shared" si="708"/>
        <v>565491.12837050483</v>
      </c>
      <c r="U281" s="95">
        <f t="shared" si="708"/>
        <v>553891.83225609502</v>
      </c>
      <c r="V281" s="95">
        <f t="shared" si="708"/>
        <v>579295.38745163451</v>
      </c>
      <c r="W281" s="95">
        <f t="shared" si="708"/>
        <v>605816.69907577755</v>
      </c>
      <c r="X281" s="95">
        <f t="shared" si="708"/>
        <v>633504.94841138297</v>
      </c>
      <c r="Y281" s="95">
        <f t="shared" si="708"/>
        <v>662411.48071775504</v>
      </c>
      <c r="Z281" s="95">
        <f t="shared" si="708"/>
        <v>692589.90044560749</v>
      </c>
      <c r="AA281" s="95">
        <f t="shared" si="708"/>
        <v>724096.17064148514</v>
      </c>
    </row>
    <row r="282" spans="1:27">
      <c r="A282" s="102" t="s">
        <v>43</v>
      </c>
      <c r="B282" s="95">
        <f>SUM(B281:B281)</f>
        <v>-3180000</v>
      </c>
      <c r="C282" s="95">
        <f>SUM(B281:C281)</f>
        <v>-2888227.2781821201</v>
      </c>
      <c r="D282" s="95">
        <f>SUM(B281:D281)</f>
        <v>-2549143.1006946485</v>
      </c>
      <c r="E282" s="95">
        <f>SUM(B281:E281)</f>
        <v>-2195246.2552395361</v>
      </c>
      <c r="F282" s="95">
        <f>SUM(B281:F281)</f>
        <v>-1833794.0212623649</v>
      </c>
      <c r="G282" s="95">
        <f>SUM(B281:G281)</f>
        <v>-1454431.6679732492</v>
      </c>
      <c r="H282" s="95">
        <f>SUM(B281:H281)</f>
        <v>-1056440.7148682259</v>
      </c>
      <c r="I282" s="95">
        <f>SUM(B281:I281)</f>
        <v>-639071.06830115779</v>
      </c>
      <c r="J282" s="95">
        <f>SUM(B281:J281)</f>
        <v>-278866.8842884528</v>
      </c>
      <c r="K282" s="95">
        <f>SUM(B281:K281)</f>
        <v>94724.831604030449</v>
      </c>
      <c r="L282" s="95">
        <f>SUM(B281:L281)</f>
        <v>486412.98028391867</v>
      </c>
      <c r="M282" s="95">
        <f>SUM(B281:M281)</f>
        <v>896924.24004809489</v>
      </c>
      <c r="N282" s="95">
        <f>SUM(B281:N281)</f>
        <v>1327017.2630385051</v>
      </c>
      <c r="O282" s="95">
        <f>SUM(B281:O281)</f>
        <v>1777484.0820913408</v>
      </c>
      <c r="P282" s="95">
        <f>SUM(B281:P281)</f>
        <v>2249151.5794875859</v>
      </c>
      <c r="Q282" s="95">
        <f>SUM(B281:Q281)</f>
        <v>2742883.0203285879</v>
      </c>
      <c r="R282" s="95">
        <f>SUM(B281:R281)</f>
        <v>3259579.6533801532</v>
      </c>
      <c r="S282" s="95">
        <f>SUM(B281:S281)</f>
        <v>3800182.3823537845</v>
      </c>
      <c r="T282" s="95">
        <f>SUM(B281:T281)</f>
        <v>4365673.5107242893</v>
      </c>
      <c r="U282" s="95">
        <f>SUM(B281:U281)</f>
        <v>4919565.3429803848</v>
      </c>
      <c r="V282" s="95">
        <f>SUM(B281:V281)</f>
        <v>5498860.7304320196</v>
      </c>
      <c r="W282" s="95">
        <f>SUM(B281:W281)</f>
        <v>6104677.4295077976</v>
      </c>
      <c r="X282" s="95">
        <f>SUM(B281:X281)</f>
        <v>6738182.3779191803</v>
      </c>
      <c r="Y282" s="95">
        <f>SUM(B281:Y281)</f>
        <v>7400593.8586369352</v>
      </c>
      <c r="Z282" s="95">
        <f>SUM(B281:Z281)</f>
        <v>8093183.7590825427</v>
      </c>
      <c r="AA282" s="95">
        <f>SUM(B281:AA281)</f>
        <v>8817279.9297240283</v>
      </c>
    </row>
    <row r="283" spans="1:27">
      <c r="A283" s="103" t="s">
        <v>44</v>
      </c>
      <c r="B283" s="104">
        <f>1/POWER((1+B241),B271)</f>
        <v>1</v>
      </c>
      <c r="C283" s="104">
        <f>1/POWER((1+B241),C271)</f>
        <v>0.92250922509225086</v>
      </c>
      <c r="D283" s="104">
        <f>1/POWER((1+B241),D271)</f>
        <v>0.85102327038030523</v>
      </c>
      <c r="E283" s="104">
        <f>1/POWER((1+B241),E271)</f>
        <v>0.78507681769400839</v>
      </c>
      <c r="F283" s="104">
        <f>1/POWER((1+B241),F271)</f>
        <v>0.72424060672879009</v>
      </c>
      <c r="G283" s="104">
        <f>1/POWER((1+B241),G271)</f>
        <v>0.66811864089371786</v>
      </c>
      <c r="H283" s="104">
        <f>1/POWER((1+B241),H271)</f>
        <v>0.61634560968055141</v>
      </c>
      <c r="I283" s="104">
        <f>1/POWER((1+B241),I271)</f>
        <v>0.56858451077541639</v>
      </c>
      <c r="J283" s="104">
        <f>1/POWER((1+B241),J271)</f>
        <v>0.5245244564348861</v>
      </c>
      <c r="K283" s="104">
        <f>1/POWER((1+B241),K271)</f>
        <v>0.48387864984768086</v>
      </c>
      <c r="L283" s="104">
        <f>1/POWER((1+B241),L271)</f>
        <v>0.44638251830966863</v>
      </c>
      <c r="M283" s="104">
        <f>1/POWER((1+B241),M271)</f>
        <v>0.41179199106057984</v>
      </c>
      <c r="N283" s="104">
        <f>1/POWER((1+B241),N271)</f>
        <v>0.37988191057249071</v>
      </c>
      <c r="O283" s="104">
        <f>1/POWER((1+B241),O271)</f>
        <v>0.35044456694879217</v>
      </c>
      <c r="P283" s="104">
        <f>1/POWER((1+B241),P271)</f>
        <v>0.32328834589371969</v>
      </c>
      <c r="Q283" s="104">
        <f>1/POWER((1+B241),Q271)</f>
        <v>0.2982364814517709</v>
      </c>
      <c r="R283" s="104">
        <f>1/POWER((1+B241),R271)</f>
        <v>0.27512590539831266</v>
      </c>
      <c r="S283" s="104">
        <f>1/POWER((1+B241),S271)</f>
        <v>0.25380618579180131</v>
      </c>
      <c r="T283" s="104">
        <f>1/POWER((1+B241),T271)</f>
        <v>0.2341385477784145</v>
      </c>
      <c r="U283" s="104">
        <f>1/POWER((1+B241),U271)</f>
        <v>0.21599497027529013</v>
      </c>
      <c r="V283" s="104">
        <f>1/POWER((1+B241),V271)</f>
        <v>0.19925735265248168</v>
      </c>
      <c r="W283" s="104">
        <f>1/POWER((1+B241),W271)</f>
        <v>0.18381674598937425</v>
      </c>
      <c r="X283" s="104">
        <f>1/POWER((1+B241),X271)</f>
        <v>0.16957264390163673</v>
      </c>
      <c r="Y283" s="104">
        <f>1/POWER((1+B241),Y271)</f>
        <v>0.15643232832254311</v>
      </c>
      <c r="Z283" s="104">
        <f>1/POWER((1+B241),Z271)</f>
        <v>0.14431026598020583</v>
      </c>
      <c r="AA283" s="104">
        <f>1/POWER((1+B241),AA271)</f>
        <v>0.13312755164225631</v>
      </c>
    </row>
    <row r="284" spans="1:27">
      <c r="A284" s="105" t="s">
        <v>45</v>
      </c>
      <c r="B284" s="106">
        <f t="shared" ref="B284:AA284" si="709">B281*B283</f>
        <v>-3180000</v>
      </c>
      <c r="C284" s="106">
        <f t="shared" si="709"/>
        <v>269163.02750726952</v>
      </c>
      <c r="D284" s="106">
        <f t="shared" si="709"/>
        <v>288568.52565960382</v>
      </c>
      <c r="E284" s="106">
        <f t="shared" si="709"/>
        <v>277836.20922184782</v>
      </c>
      <c r="F284" s="106">
        <f t="shared" si="709"/>
        <v>261778.38523910302</v>
      </c>
      <c r="G284" s="106">
        <f t="shared" si="709"/>
        <v>253459.05988576642</v>
      </c>
      <c r="H284" s="106">
        <f t="shared" si="709"/>
        <v>245299.97663885934</v>
      </c>
      <c r="I284" s="106">
        <f t="shared" si="709"/>
        <v>237309.91630584485</v>
      </c>
      <c r="J284" s="106">
        <f t="shared" si="709"/>
        <v>188935.90382483578</v>
      </c>
      <c r="K284" s="106">
        <f t="shared" si="709"/>
        <v>180773.05508033317</v>
      </c>
      <c r="L284" s="106">
        <f t="shared" si="709"/>
        <v>174842.74219978042</v>
      </c>
      <c r="M284" s="106">
        <f t="shared" si="709"/>
        <v>169045.24901107702</v>
      </c>
      <c r="N284" s="106">
        <f t="shared" si="709"/>
        <v>163384.5592974952</v>
      </c>
      <c r="O284" s="106">
        <f t="shared" si="709"/>
        <v>157863.64932777095</v>
      </c>
      <c r="P284" s="106">
        <f t="shared" si="709"/>
        <v>152484.60504506246</v>
      </c>
      <c r="Q284" s="106">
        <f t="shared" si="709"/>
        <v>147248.72769853365</v>
      </c>
      <c r="R284" s="106">
        <f t="shared" si="709"/>
        <v>142156.6289845717</v>
      </c>
      <c r="S284" s="106">
        <f t="shared" si="709"/>
        <v>137208.3166694362</v>
      </c>
      <c r="T284" s="106">
        <f t="shared" si="709"/>
        <v>132403.27157824696</v>
      </c>
      <c r="U284" s="106">
        <f t="shared" si="709"/>
        <v>119637.84984388124</v>
      </c>
      <c r="V284" s="106">
        <f t="shared" si="709"/>
        <v>115428.86530740635</v>
      </c>
      <c r="W284" s="106">
        <f t="shared" si="709"/>
        <v>111359.25429013338</v>
      </c>
      <c r="X284" s="106">
        <f t="shared" si="709"/>
        <v>107425.1090268882</v>
      </c>
      <c r="Y284" s="106">
        <f t="shared" si="709"/>
        <v>103622.57023626179</v>
      </c>
      <c r="Z284" s="106">
        <f t="shared" si="709"/>
        <v>99947.832748509885</v>
      </c>
      <c r="AA284" s="106">
        <f t="shared" si="709"/>
        <v>96397.150351034346</v>
      </c>
    </row>
    <row r="285" spans="1:27">
      <c r="A285" s="105" t="s">
        <v>46</v>
      </c>
      <c r="B285" s="106">
        <f>SUM(B284:B284)</f>
        <v>-3180000</v>
      </c>
      <c r="C285" s="106">
        <f>SUM(B284:C284)</f>
        <v>-2910836.9724927302</v>
      </c>
      <c r="D285" s="106">
        <f>SUM(B284:D284)</f>
        <v>-2622268.4468331262</v>
      </c>
      <c r="E285" s="106">
        <f>SUM(B284:E284)</f>
        <v>-2344432.2376112784</v>
      </c>
      <c r="F285" s="106">
        <f>SUM(B284:F284)</f>
        <v>-2082653.8523721753</v>
      </c>
      <c r="G285" s="106">
        <f>SUM(B284:G284)</f>
        <v>-1829194.792486409</v>
      </c>
      <c r="H285" s="106">
        <f>SUM(B284:H284)</f>
        <v>-1583894.8158475496</v>
      </c>
      <c r="I285" s="106">
        <f>SUM(B284:I284)</f>
        <v>-1346584.8995417047</v>
      </c>
      <c r="J285" s="106">
        <f>SUM(B284:J284)</f>
        <v>-1157648.9957168689</v>
      </c>
      <c r="K285" s="106">
        <f>SUM(B284:K284)</f>
        <v>-976875.94063653576</v>
      </c>
      <c r="L285" s="106">
        <f>SUM(B284:L284)</f>
        <v>-802033.19843675534</v>
      </c>
      <c r="M285" s="106">
        <f>SUM(B284:M284)</f>
        <v>-632987.94942567835</v>
      </c>
      <c r="N285" s="106">
        <f>SUM(B284:N284)</f>
        <v>-469603.39012818318</v>
      </c>
      <c r="O285" s="106">
        <f>SUM(B284:O284)</f>
        <v>-311739.74080041226</v>
      </c>
      <c r="P285" s="106">
        <f>SUM(B284:P284)</f>
        <v>-159255.13575534979</v>
      </c>
      <c r="Q285" s="106">
        <f>SUM(B284:Q284)</f>
        <v>-12006.408056816144</v>
      </c>
      <c r="R285" s="106">
        <f>SUM(B284:R284)</f>
        <v>130150.22092775555</v>
      </c>
      <c r="S285" s="106">
        <f>SUM(B284:S284)</f>
        <v>267358.53759719175</v>
      </c>
      <c r="T285" s="106">
        <f>SUM(B284:T284)</f>
        <v>399761.80917543871</v>
      </c>
      <c r="U285" s="106">
        <f>SUM(B284:U284)</f>
        <v>519399.65901931992</v>
      </c>
      <c r="V285" s="106">
        <f>SUM(B284:V284)</f>
        <v>634828.52432672633</v>
      </c>
      <c r="W285" s="106">
        <f>SUM(B284:W284)</f>
        <v>746187.77861685969</v>
      </c>
      <c r="X285" s="106">
        <f>SUM(B284:X284)</f>
        <v>853612.88764374785</v>
      </c>
      <c r="Y285" s="106">
        <f>SUM(B284:Y284)</f>
        <v>957235.45788000966</v>
      </c>
      <c r="Z285" s="106">
        <f>SUM(B284:Z284)</f>
        <v>1057183.2906285196</v>
      </c>
      <c r="AA285" s="106">
        <f>SUM(B284:AA284)</f>
        <v>1153580.4409795539</v>
      </c>
    </row>
    <row r="286" spans="1:27">
      <c r="A286" s="105" t="s">
        <v>47</v>
      </c>
      <c r="B286" s="107">
        <f>IF((ISERR(IRR(B281:B281))),0,IF(IRR(B281:B281)&lt;0,0,IRR(B281:B281)))</f>
        <v>0</v>
      </c>
      <c r="C286" s="107">
        <f>IF((ISERR(IRR(B281:C281))),0,IF(IRR(B281:C281)&lt;0,0,IRR(B281:C281)))</f>
        <v>0</v>
      </c>
      <c r="D286" s="107">
        <f>IF((ISERR(IRR(B281:D281))),0,IF(IRR(B281:D281)&lt;0,0,IRR(B281:D281)))</f>
        <v>0</v>
      </c>
      <c r="E286" s="107">
        <f>IF((ISERR(IRR(B281:E281))),0,IF(IRR(B281:E281)&lt;0,0,IRR(B281:E281)))</f>
        <v>0</v>
      </c>
      <c r="F286" s="107">
        <f>IF((ISERR(IRR(B281:F281))),0,IF(IRR(B281:F281)&lt;0,0,IRR(B281:F281)))</f>
        <v>0</v>
      </c>
      <c r="G286" s="107">
        <f>IF((ISERR(IRR(B281:G281))),0,IF(IRR(B281:G281)&lt;0,0,IRR(B281:G281)))</f>
        <v>0</v>
      </c>
      <c r="H286" s="107">
        <f>IF((ISERR(IRR(B281:H281))),0,IF(IRR(B281:H281)&lt;0,0,IRR(B281:H281)))</f>
        <v>0</v>
      </c>
      <c r="I286" s="107">
        <f>IF((ISERR(IRR(B281:I281))),0,IF(IRR(B281:I281)&lt;0,0,IRR(B281:I281)))</f>
        <v>0</v>
      </c>
      <c r="J286" s="107">
        <f>IF((ISERR(IRR(B281:J281))),0,IF(IRR(B281:J281)&lt;0,0,IRR(B281:J281)))</f>
        <v>0</v>
      </c>
      <c r="K286" s="107">
        <f>IF((ISERR(IRR(B281:K281))),0,IF(IRR(B281:K281)&lt;0,0,IRR(B281:K281)))</f>
        <v>5.7144771520738491E-3</v>
      </c>
      <c r="L286" s="107">
        <f>IF((ISERR(IRR(B281:L281))),0,IF(IRR(B281:L281)&lt;0,0,IRR(B281:L281)))</f>
        <v>2.581275704077779E-2</v>
      </c>
      <c r="M286" s="107">
        <f>IF((ISERR(IRR(B281:M281))),0,IF(IRR(B281:M281)&lt;0,0,IRR(B281:M281)))</f>
        <v>4.2125799202999081E-2</v>
      </c>
      <c r="N286" s="107">
        <f>IF((ISERR(IRR(B281:N281))),0,IF(IRR(B281:N281)&lt;0,0,IRR(B281:N281)))</f>
        <v>5.5482888503321171E-2</v>
      </c>
      <c r="O286" s="107">
        <f>IF((ISERR(IRR(B281:O281))),0,IF(IRR(B281:O281)&lt;0,0,IRR(B281:O281)))</f>
        <v>6.651560679341606E-2</v>
      </c>
      <c r="P286" s="107">
        <f>IF((ISERR(IRR(B281:P281))),0,IF(IRR(B281:P281)&lt;0,0,IRR(B281:P281)))</f>
        <v>7.5704288901956795E-2</v>
      </c>
      <c r="Q286" s="107">
        <f>IF((ISERR(IRR(B281:Q281))),0,IF(IRR(B281:Q281)&lt;0,0,IRR(B281:Q281)))</f>
        <v>8.3416196097926498E-2</v>
      </c>
      <c r="R286" s="107">
        <f>IF((ISERR(IRR(B281:R281))),0,IF(IRR(B281:R281)&lt;0,0,IRR(B281:R281)))</f>
        <v>8.993445028193614E-2</v>
      </c>
      <c r="S286" s="107">
        <f>IF((ISERR(IRR(B281:S281))),0,IF(IRR(B281:S281)&lt;0,0,IRR(B281:S281)))</f>
        <v>9.5479350462678747E-2</v>
      </c>
      <c r="T286" s="107">
        <f>IF((ISERR(IRR(B281:T281))),0,IF(IRR(B281:T281)&lt;0,0,IRR(B281:T281)))</f>
        <v>0.10022395384126748</v>
      </c>
      <c r="U286" s="107">
        <f>IF((ISERR(IRR(B281:U281))),0,IF(IRR(B281:U281)&lt;0,0,IRR(B281:U281)))</f>
        <v>0.10405779025589834</v>
      </c>
      <c r="V286" s="107">
        <f>IF((ISERR(IRR(B281:V281))),0,IF(IRR(B281:V281)&lt;0,0,IRR(B281:V281)))</f>
        <v>0.1073906396388058</v>
      </c>
      <c r="W286" s="107">
        <f>IF((ISERR(IRR(B281:W281))),0,IF(IRR(B281:W281)&lt;0,0,IRR(B281:W281)))</f>
        <v>0.11029893337104935</v>
      </c>
      <c r="X286" s="107">
        <f>IF((ISERR(IRR(B281:X281))),0,IF(IRR(B281:X281)&lt;0,0,IRR(B281:X281)))</f>
        <v>0.11284574750607401</v>
      </c>
      <c r="Y286" s="107">
        <f>IF((ISERR(IRR(B281:Y281))),0,IF(IRR(B281:Y281)&lt;0,0,IRR(B281:Y281)))</f>
        <v>0.11508338715457889</v>
      </c>
      <c r="Z286" s="107">
        <f>IF((ISERR(IRR(B281:Z281))),0,IF(IRR(B281:Z281)&lt;0,0,IRR(B281:Z281)))</f>
        <v>0.11705544025939085</v>
      </c>
      <c r="AA286" s="107">
        <f>IF((ISERR(IRR(B281:AA281))),0,IF(IRR(B281:AA281)&lt;0,0,IRR(B281:AA281)))</f>
        <v>0.11879840938434993</v>
      </c>
    </row>
    <row r="287" spans="1:27">
      <c r="A287" s="105" t="s">
        <v>48</v>
      </c>
      <c r="B287" s="108"/>
      <c r="C287" s="108">
        <f t="shared" ref="C287" si="710">IF(AND(C282&gt;0,B282&lt;0),(C271-(C282/(C282-B282))),0)</f>
        <v>0</v>
      </c>
      <c r="D287" s="108">
        <f t="shared" ref="D287" si="711">IF(AND(D282&gt;0,C282&lt;0),(D271-(D282/(D282-C282))),0)</f>
        <v>0</v>
      </c>
      <c r="E287" s="108">
        <f t="shared" ref="E287" si="712">IF(AND(E282&gt;0,D282&lt;0),(E271-(E282/(E282-D282))),0)</f>
        <v>0</v>
      </c>
      <c r="F287" s="108">
        <f t="shared" ref="F287" si="713">IF(AND(F282&gt;0,E282&lt;0),(F271-(F282/(F282-E282))),0)</f>
        <v>0</v>
      </c>
      <c r="G287" s="108">
        <f t="shared" ref="G287" si="714">IF(AND(G282&gt;0,F282&lt;0),(G271-(G282/(G282-F282))),0)</f>
        <v>0</v>
      </c>
      <c r="H287" s="108">
        <f t="shared" ref="H287" si="715">IF(AND(H282&gt;0,G282&lt;0),(H271-(H282/(H282-G282))),0)</f>
        <v>0</v>
      </c>
      <c r="I287" s="108">
        <f t="shared" ref="I287" si="716">IF(AND(I282&gt;0,H282&lt;0),(I271-(I282/(I282-H282))),0)</f>
        <v>0</v>
      </c>
      <c r="J287" s="108">
        <f t="shared" ref="J287" si="717">IF(AND(J282&gt;0,I282&lt;0),(J271-(J282/(J282-I282))),0)</f>
        <v>0</v>
      </c>
      <c r="K287" s="108">
        <f t="shared" ref="K287" si="718">IF(AND(K282&gt;0,J282&lt;0),(K271-(K282/(K282-J282))),0)</f>
        <v>8.7464482546735827</v>
      </c>
      <c r="L287" s="108">
        <f t="shared" ref="L287" si="719">IF(AND(L282&gt;0,K282&lt;0),(L271-(L282/(L282-K282))),0)</f>
        <v>0</v>
      </c>
      <c r="M287" s="108">
        <f t="shared" ref="M287" si="720">IF(AND(M282&gt;0,L282&lt;0),(M271-(M282/(M282-L282))),0)</f>
        <v>0</v>
      </c>
      <c r="N287" s="108">
        <f t="shared" ref="N287" si="721">IF(AND(N282&gt;0,M282&lt;0),(N271-(N282/(N282-M282))),0)</f>
        <v>0</v>
      </c>
      <c r="O287" s="108">
        <f t="shared" ref="O287" si="722">IF(AND(O282&gt;0,N282&lt;0),(O271-(O282/(O282-N282))),0)</f>
        <v>0</v>
      </c>
      <c r="P287" s="108">
        <f>IF(AND(P282&gt;0,O282&lt;0),(P271-(P282/(P282-O282))),0)</f>
        <v>0</v>
      </c>
      <c r="Q287" s="108">
        <f>IF(AND(Q282&gt;0,P282&lt;0),(Q271-(Q282/(Q282-P282))),0)</f>
        <v>0</v>
      </c>
      <c r="R287" s="108">
        <f t="shared" ref="R287" si="723">IF(AND(R282&gt;0,Q282&lt;0),(R271-(R282/(R282-Q282))),0)</f>
        <v>0</v>
      </c>
      <c r="S287" s="108">
        <f t="shared" ref="S287" si="724">IF(AND(S282&gt;0,R282&lt;0),(S271-(S282/(S282-R282))),0)</f>
        <v>0</v>
      </c>
      <c r="T287" s="108">
        <f t="shared" ref="T287" si="725">IF(AND(T282&gt;0,S282&lt;0),(T271-(T282/(T282-S282))),0)</f>
        <v>0</v>
      </c>
      <c r="U287" s="108">
        <f t="shared" ref="U287" si="726">IF(AND(U282&gt;0,T282&lt;0),(U271-(U282/(U282-T282))),0)</f>
        <v>0</v>
      </c>
      <c r="V287" s="108">
        <f t="shared" ref="V287" si="727">IF(AND(V282&gt;0,U282&lt;0),(V271-(V282/(V282-U282))),0)</f>
        <v>0</v>
      </c>
      <c r="W287" s="108">
        <f t="shared" ref="W287" si="728">IF(AND(W282&gt;0,V282&lt;0),(W271-(W282/(W282-V282))),0)</f>
        <v>0</v>
      </c>
      <c r="X287" s="108">
        <f t="shared" ref="X287" si="729">IF(AND(X282&gt;0,W282&lt;0),(X271-(X282/(X282-W282))),0)</f>
        <v>0</v>
      </c>
      <c r="Y287" s="108">
        <f t="shared" ref="Y287" si="730">IF(AND(Y282&gt;0,X282&lt;0),(Y271-(Y282/(Y282-X282))),0)</f>
        <v>0</v>
      </c>
      <c r="Z287" s="108">
        <f t="shared" ref="Z287" si="731">IF(AND(Z282&gt;0,Y282&lt;0),(Z271-(Z282/(Z282-Y282))),0)</f>
        <v>0</v>
      </c>
      <c r="AA287" s="108">
        <f t="shared" ref="AA287" si="732">IF(AND(AA282&gt;0,Z282&lt;0),(AA271-(AA282/(AA282-Z282))),0)</f>
        <v>0</v>
      </c>
    </row>
    <row r="288" spans="1:27" ht="16.5" thickBot="1">
      <c r="A288" s="109" t="s">
        <v>49</v>
      </c>
      <c r="B288" s="110"/>
      <c r="C288" s="110">
        <f t="shared" ref="C288" si="733">IF(AND(C285&gt;0,B285&lt;0),(C271-(C285/(C285-B285))),0)</f>
        <v>0</v>
      </c>
      <c r="D288" s="110">
        <f t="shared" ref="D288" si="734">IF(AND(D285&gt;0,C285&lt;0),(D271-(D285/(D285-C285))),0)</f>
        <v>0</v>
      </c>
      <c r="E288" s="110">
        <f t="shared" ref="E288" si="735">IF(AND(E285&gt;0,D285&lt;0),(E271-(E285/(E285-D285))),0)</f>
        <v>0</v>
      </c>
      <c r="F288" s="110">
        <f t="shared" ref="F288" si="736">IF(AND(F285&gt;0,E285&lt;0),(F271-(F285/(F285-E285))),0)</f>
        <v>0</v>
      </c>
      <c r="G288" s="110">
        <f t="shared" ref="G288" si="737">IF(AND(G285&gt;0,F285&lt;0),(G271-(G285/(G285-F285))),0)</f>
        <v>0</v>
      </c>
      <c r="H288" s="110">
        <f t="shared" ref="H288" si="738">IF(AND(H285&gt;0,G285&lt;0),(H271-(H285/(H285-G285))),0)</f>
        <v>0</v>
      </c>
      <c r="I288" s="110">
        <f t="shared" ref="I288" si="739">IF(AND(I285&gt;0,H285&lt;0),(I271-(I285/(I285-H285))),0)</f>
        <v>0</v>
      </c>
      <c r="J288" s="110">
        <f t="shared" ref="J288" si="740">IF(AND(J285&gt;0,I285&lt;0),(J271-(J285/(J285-I285))),0)</f>
        <v>0</v>
      </c>
      <c r="K288" s="110">
        <f t="shared" ref="K288" si="741">IF(AND(K285&gt;0,J285&lt;0),(K271-(K285/(K285-J285))),0)</f>
        <v>0</v>
      </c>
      <c r="L288" s="110">
        <f t="shared" ref="L288" si="742">IF(AND(L285&gt;0,K285&lt;0),(L271-(L285/(L285-K285))),0)</f>
        <v>0</v>
      </c>
      <c r="M288" s="110">
        <f t="shared" ref="M288" si="743">IF(AND(M285&gt;0,L285&lt;0),(M271-(M285/(M285-L285))),0)</f>
        <v>0</v>
      </c>
      <c r="N288" s="110">
        <f t="shared" ref="N288" si="744">IF(AND(N285&gt;0,M285&lt;0),(N271-(N285/(N285-M285))),0)</f>
        <v>0</v>
      </c>
      <c r="O288" s="110">
        <f t="shared" ref="O288" si="745">IF(AND(O285&gt;0,N285&lt;0),(O271-(O285/(O285-N285))),0)</f>
        <v>0</v>
      </c>
      <c r="P288" s="110">
        <f t="shared" ref="P288" si="746">IF(AND(P285&gt;0,O285&lt;0),(P271-(P285/(P285-O285))),0)</f>
        <v>0</v>
      </c>
      <c r="Q288" s="110">
        <f t="shared" ref="Q288" si="747">IF(AND(Q285&gt;0,P285&lt;0),(Q271-(Q285/(Q285-P285))),0)</f>
        <v>0</v>
      </c>
      <c r="R288" s="110">
        <f t="shared" ref="R288" si="748">IF(AND(R285&gt;0,Q285&lt;0),(R271-(R285/(R285-Q285))),0)</f>
        <v>15.084459009351715</v>
      </c>
      <c r="S288" s="110">
        <f t="shared" ref="S288" si="749">IF(AND(S285&gt;0,R285&lt;0),(S271-(S285/(S285-R285))),0)</f>
        <v>0</v>
      </c>
      <c r="T288" s="110">
        <f t="shared" ref="T288" si="750">IF(AND(T285&gt;0,S285&lt;0),(T271-(T285/(T285-S285))),0)</f>
        <v>0</v>
      </c>
      <c r="U288" s="110">
        <f t="shared" ref="U288" si="751">IF(AND(U285&gt;0,T285&lt;0),(U271-(U285/(U285-T285))),0)</f>
        <v>0</v>
      </c>
      <c r="V288" s="110">
        <f t="shared" ref="V288" si="752">IF(AND(V285&gt;0,U285&lt;0),(V271-(V285/(V285-U285))),0)</f>
        <v>0</v>
      </c>
      <c r="W288" s="110">
        <f t="shared" ref="W288" si="753">IF(AND(W285&gt;0,V285&lt;0),(W271-(W285/(W285-V285))),0)</f>
        <v>0</v>
      </c>
      <c r="X288" s="110">
        <f t="shared" ref="X288" si="754">IF(AND(X285&gt;0,W285&lt;0),(X271-(X285/(X285-W285))),0)</f>
        <v>0</v>
      </c>
      <c r="Y288" s="110">
        <f t="shared" ref="Y288" si="755">IF(AND(Y285&gt;0,X285&lt;0),(Y271-(Y285/(Y285-X285))),0)</f>
        <v>0</v>
      </c>
      <c r="Z288" s="110">
        <f t="shared" ref="Z288" si="756">IF(AND(Z285&gt;0,Y285&lt;0),(Z271-(Z285/(Z285-Y285))),0)</f>
        <v>0</v>
      </c>
      <c r="AA288" s="110">
        <f>IF(AND(AA285&gt;0,Z285&lt;0),(AA271-(AA285/(AA285-Z285))),0)</f>
        <v>0</v>
      </c>
    </row>
    <row r="292" spans="1:11" ht="16.5" thickBot="1">
      <c r="A292" s="58" t="s">
        <v>299</v>
      </c>
      <c r="B292" s="58" t="s">
        <v>300</v>
      </c>
      <c r="D292" s="59"/>
      <c r="E292" s="60"/>
      <c r="F292" s="60"/>
      <c r="G292" s="60"/>
      <c r="H292" s="60"/>
    </row>
    <row r="293" spans="1:11" ht="25.5">
      <c r="A293" s="61" t="s">
        <v>301</v>
      </c>
      <c r="B293" s="706">
        <f>3.18*1000000/1.18</f>
        <v>2694915.2542372881</v>
      </c>
      <c r="C293" s="680">
        <v>5</v>
      </c>
      <c r="D293" s="705" t="str">
        <f>'приложение 1.1 '!B30</f>
        <v>Монтаж системы телемеханики на ПС №121-35/6кВ</v>
      </c>
      <c r="E293" s="62"/>
      <c r="F293" s="62"/>
      <c r="G293" s="62"/>
      <c r="H293" s="62"/>
      <c r="I293" s="62"/>
      <c r="J293" s="62"/>
      <c r="K293" s="62"/>
    </row>
    <row r="294" spans="1:11">
      <c r="A294" s="63" t="s">
        <v>302</v>
      </c>
      <c r="B294" s="64">
        <v>0</v>
      </c>
      <c r="C294" s="62"/>
      <c r="D294" s="62"/>
      <c r="E294" s="62"/>
      <c r="F294" s="62"/>
      <c r="G294" s="62"/>
      <c r="H294" s="62"/>
      <c r="I294" s="62"/>
      <c r="J294" s="62"/>
      <c r="K294" s="62"/>
    </row>
    <row r="295" spans="1:11">
      <c r="A295" s="63" t="s">
        <v>303</v>
      </c>
      <c r="B295" s="64">
        <v>15</v>
      </c>
      <c r="C295" s="62"/>
      <c r="D295" s="57" t="s">
        <v>304</v>
      </c>
      <c r="E295" s="62"/>
      <c r="F295" s="62"/>
      <c r="G295" s="62"/>
      <c r="H295" s="62"/>
      <c r="I295" s="62"/>
      <c r="J295" s="62"/>
      <c r="K295" s="62"/>
    </row>
    <row r="296" spans="1:11" ht="16.5" thickBot="1">
      <c r="A296" s="65" t="s">
        <v>305</v>
      </c>
      <c r="B296" s="68">
        <v>1</v>
      </c>
      <c r="C296" s="62"/>
      <c r="D296" s="929" t="s">
        <v>306</v>
      </c>
      <c r="E296" s="929"/>
      <c r="F296" s="934">
        <f>SUM(B358:X358)</f>
        <v>8.7442621793619928</v>
      </c>
      <c r="G296" s="935">
        <f>SUM(C358:Y358)</f>
        <v>8.7442621793619928</v>
      </c>
      <c r="K296" s="66"/>
    </row>
    <row r="297" spans="1:11">
      <c r="A297" s="70" t="s">
        <v>469</v>
      </c>
      <c r="B297" s="473">
        <f>B293*0.417/100</f>
        <v>11237.796610169493</v>
      </c>
      <c r="C297" s="62"/>
      <c r="D297" s="929" t="s">
        <v>470</v>
      </c>
      <c r="E297" s="929"/>
      <c r="F297" s="934">
        <f>IF(SUM(B359:AA359)=0,"не окупается",SUM(B359:AA359))</f>
        <v>15.097798420650648</v>
      </c>
      <c r="G297" s="935"/>
      <c r="K297" s="66"/>
    </row>
    <row r="298" spans="1:11">
      <c r="A298" s="72" t="s">
        <v>471</v>
      </c>
      <c r="B298" s="474">
        <v>5</v>
      </c>
      <c r="C298" s="62"/>
      <c r="D298" s="929" t="s">
        <v>50</v>
      </c>
      <c r="E298" s="929"/>
      <c r="F298" s="932">
        <f>AA356</f>
        <v>1158445.2994831274</v>
      </c>
      <c r="G298" s="933"/>
      <c r="K298" s="66"/>
    </row>
    <row r="299" spans="1:11">
      <c r="A299" s="72" t="s">
        <v>6</v>
      </c>
      <c r="B299" s="474">
        <v>1</v>
      </c>
      <c r="C299" s="62"/>
      <c r="D299" s="929" t="s">
        <v>7</v>
      </c>
      <c r="E299" s="929"/>
      <c r="F299" s="930" t="str">
        <f>IF(F298&gt;0,"да","нет")</f>
        <v>да</v>
      </c>
      <c r="G299" s="931"/>
      <c r="K299" s="66"/>
    </row>
    <row r="300" spans="1:11">
      <c r="A300" s="72" t="s">
        <v>8</v>
      </c>
      <c r="B300" s="474">
        <f>B293*0.0375/100</f>
        <v>1010.5932203389831</v>
      </c>
      <c r="C300" s="62"/>
      <c r="D300" s="62"/>
      <c r="E300" s="62"/>
      <c r="F300" s="62"/>
      <c r="G300" s="62"/>
      <c r="H300" s="62"/>
      <c r="I300" s="62"/>
      <c r="J300" s="62"/>
      <c r="K300" s="62"/>
    </row>
    <row r="301" spans="1:11">
      <c r="A301" s="72" t="s">
        <v>9</v>
      </c>
      <c r="B301" s="475">
        <v>5</v>
      </c>
      <c r="C301" s="62"/>
      <c r="D301" s="62"/>
      <c r="E301" s="62"/>
      <c r="F301" s="62"/>
      <c r="G301" s="62"/>
      <c r="H301" s="62"/>
      <c r="I301" s="62"/>
      <c r="J301" s="62"/>
      <c r="K301" s="62"/>
    </row>
    <row r="302" spans="1:11">
      <c r="A302" s="72" t="s">
        <v>10</v>
      </c>
      <c r="B302" s="475">
        <v>1</v>
      </c>
      <c r="C302" s="62"/>
      <c r="D302" s="62"/>
      <c r="E302" s="62"/>
      <c r="F302" s="62"/>
      <c r="G302" s="62"/>
      <c r="H302" s="62"/>
      <c r="I302" s="62"/>
      <c r="J302" s="62"/>
      <c r="K302" s="62"/>
    </row>
    <row r="303" spans="1:11">
      <c r="A303" s="75" t="s">
        <v>290</v>
      </c>
      <c r="B303" s="475">
        <v>0</v>
      </c>
      <c r="C303" s="62"/>
      <c r="D303" s="62"/>
      <c r="E303" s="62"/>
      <c r="F303" s="62"/>
      <c r="G303" s="62"/>
      <c r="H303" s="62"/>
      <c r="I303" s="62"/>
      <c r="J303" s="62"/>
      <c r="K303" s="62"/>
    </row>
    <row r="304" spans="1:11" ht="16.5" thickBot="1">
      <c r="A304" s="471" t="s">
        <v>100</v>
      </c>
      <c r="B304" s="476">
        <v>0.2</v>
      </c>
      <c r="C304" s="62"/>
      <c r="D304" s="62"/>
      <c r="E304" s="62"/>
      <c r="F304" s="62"/>
      <c r="G304" s="62"/>
      <c r="H304" s="62"/>
      <c r="I304" s="62"/>
      <c r="J304" s="62"/>
      <c r="K304" s="62"/>
    </row>
    <row r="305" spans="1:27">
      <c r="A305" s="61" t="s">
        <v>290</v>
      </c>
      <c r="B305" s="472">
        <v>0</v>
      </c>
      <c r="C305" s="62"/>
      <c r="D305" s="62"/>
      <c r="E305" s="62"/>
      <c r="F305" s="62"/>
      <c r="G305" s="62"/>
      <c r="H305" s="62"/>
      <c r="I305" s="62"/>
      <c r="J305" s="62"/>
      <c r="K305" s="62"/>
    </row>
    <row r="306" spans="1:27">
      <c r="A306" s="63" t="s">
        <v>11</v>
      </c>
      <c r="B306" s="64">
        <v>0</v>
      </c>
      <c r="C306" s="62"/>
      <c r="D306" s="62"/>
      <c r="E306" s="62"/>
      <c r="F306" s="62"/>
      <c r="G306" s="62"/>
      <c r="H306" s="62"/>
      <c r="I306" s="62"/>
      <c r="J306" s="62"/>
      <c r="K306" s="62"/>
    </row>
    <row r="307" spans="1:27" ht="16.5" thickBot="1">
      <c r="A307" s="67" t="s">
        <v>12</v>
      </c>
      <c r="B307" s="69">
        <v>0.1</v>
      </c>
      <c r="C307" s="62"/>
      <c r="D307" s="62"/>
      <c r="E307" s="62"/>
      <c r="F307" s="62"/>
      <c r="G307" s="62"/>
      <c r="H307" s="62"/>
      <c r="I307" s="62"/>
      <c r="J307" s="62"/>
      <c r="K307" s="62"/>
    </row>
    <row r="308" spans="1:27">
      <c r="A308" s="70" t="s">
        <v>13</v>
      </c>
      <c r="B308" s="71">
        <v>7</v>
      </c>
    </row>
    <row r="309" spans="1:27">
      <c r="A309" s="72" t="s">
        <v>14</v>
      </c>
      <c r="B309" s="73">
        <v>0.14000000000000001</v>
      </c>
    </row>
    <row r="310" spans="1:27">
      <c r="A310" s="72" t="s">
        <v>15</v>
      </c>
      <c r="B310" s="74">
        <v>0.14000000000000001</v>
      </c>
    </row>
    <row r="311" spans="1:27">
      <c r="A311" s="72" t="s">
        <v>16</v>
      </c>
      <c r="B311" s="74">
        <f>+(B321+B322)/B293</f>
        <v>0</v>
      </c>
    </row>
    <row r="312" spans="1:27">
      <c r="A312" s="72" t="s">
        <v>17</v>
      </c>
      <c r="B312" s="74">
        <v>8.4000000000000005E-2</v>
      </c>
    </row>
    <row r="313" spans="1:27">
      <c r="A313" s="72" t="s">
        <v>18</v>
      </c>
      <c r="B313" s="74">
        <f>1-B311</f>
        <v>1</v>
      </c>
    </row>
    <row r="314" spans="1:27" ht="16.5" thickBot="1">
      <c r="A314" s="75" t="s">
        <v>19</v>
      </c>
      <c r="B314" s="76">
        <f>B313*B312+B311*B310*(1-B304)</f>
        <v>8.4000000000000005E-2</v>
      </c>
    </row>
    <row r="315" spans="1:27" ht="47.25">
      <c r="A315" s="77" t="s">
        <v>20</v>
      </c>
      <c r="B315" s="78" t="s">
        <v>553</v>
      </c>
      <c r="C315" s="79">
        <v>2017</v>
      </c>
      <c r="D315" s="80">
        <f t="shared" ref="D315" si="757">C315+1</f>
        <v>2018</v>
      </c>
      <c r="E315" s="80">
        <f t="shared" ref="E315" si="758">D315+1</f>
        <v>2019</v>
      </c>
      <c r="F315" s="80">
        <f t="shared" ref="F315" si="759">E315+1</f>
        <v>2020</v>
      </c>
      <c r="G315" s="80">
        <f t="shared" ref="G315" si="760">F315+1</f>
        <v>2021</v>
      </c>
      <c r="H315" s="80">
        <f t="shared" ref="H315" si="761">G315+1</f>
        <v>2022</v>
      </c>
      <c r="I315" s="80">
        <f t="shared" ref="I315" si="762">H315+1</f>
        <v>2023</v>
      </c>
      <c r="J315" s="80">
        <f t="shared" ref="J315" si="763">I315+1</f>
        <v>2024</v>
      </c>
      <c r="K315" s="80">
        <f t="shared" ref="K315" si="764">J315+1</f>
        <v>2025</v>
      </c>
      <c r="L315" s="81">
        <f t="shared" ref="L315" si="765">K315+1</f>
        <v>2026</v>
      </c>
      <c r="M315" s="81">
        <f t="shared" ref="M315" si="766">L315+1</f>
        <v>2027</v>
      </c>
      <c r="N315" s="81">
        <f t="shared" ref="N315" si="767">M315+1</f>
        <v>2028</v>
      </c>
      <c r="O315" s="81">
        <f t="shared" ref="O315" si="768">N315+1</f>
        <v>2029</v>
      </c>
      <c r="P315" s="81">
        <f t="shared" ref="P315" si="769">O315+1</f>
        <v>2030</v>
      </c>
      <c r="Q315" s="81">
        <f t="shared" ref="Q315" si="770">P315+1</f>
        <v>2031</v>
      </c>
      <c r="R315" s="81">
        <f t="shared" ref="R315" si="771">Q315+1</f>
        <v>2032</v>
      </c>
      <c r="S315" s="81">
        <f t="shared" ref="S315" si="772">R315+1</f>
        <v>2033</v>
      </c>
      <c r="T315" s="81">
        <f t="shared" ref="T315" si="773">S315+1</f>
        <v>2034</v>
      </c>
      <c r="U315" s="81">
        <f t="shared" ref="U315" si="774">T315+1</f>
        <v>2035</v>
      </c>
      <c r="V315" s="81">
        <f t="shared" ref="V315" si="775">U315+1</f>
        <v>2036</v>
      </c>
      <c r="W315" s="81">
        <f t="shared" ref="W315" si="776">V315+1</f>
        <v>2037</v>
      </c>
      <c r="X315" s="81">
        <f t="shared" ref="X315" si="777">W315+1</f>
        <v>2038</v>
      </c>
      <c r="Y315" s="81">
        <f t="shared" ref="Y315" si="778">X315+1</f>
        <v>2039</v>
      </c>
      <c r="Z315" s="81">
        <f t="shared" ref="Z315" si="779">Y315+1</f>
        <v>2040</v>
      </c>
      <c r="AA315" s="82">
        <f t="shared" ref="AA315" si="780">Z315+1</f>
        <v>2041</v>
      </c>
    </row>
    <row r="316" spans="1:27">
      <c r="A316" s="83" t="s">
        <v>21</v>
      </c>
      <c r="B316" s="84">
        <v>4.3999999999999997E-2</v>
      </c>
      <c r="C316" s="84">
        <v>4.3999999999999997E-2</v>
      </c>
      <c r="D316" s="84">
        <v>4.3999999999999997E-2</v>
      </c>
      <c r="E316" s="84">
        <v>4.3999999999999997E-2</v>
      </c>
      <c r="F316" s="84">
        <v>4.3999999999999997E-2</v>
      </c>
      <c r="G316" s="84">
        <v>4.3999999999999997E-2</v>
      </c>
      <c r="H316" s="84">
        <v>4.3999999999999997E-2</v>
      </c>
      <c r="I316" s="84">
        <v>4.3999999999999997E-2</v>
      </c>
      <c r="J316" s="84">
        <v>4.3999999999999997E-2</v>
      </c>
      <c r="K316" s="84">
        <v>4.3999999999999997E-2</v>
      </c>
      <c r="L316" s="84">
        <v>4.3999999999999997E-2</v>
      </c>
      <c r="M316" s="84">
        <v>4.3999999999999997E-2</v>
      </c>
      <c r="N316" s="84">
        <v>4.3999999999999997E-2</v>
      </c>
      <c r="O316" s="84">
        <v>4.3999999999999997E-2</v>
      </c>
      <c r="P316" s="84">
        <v>4.3999999999999997E-2</v>
      </c>
      <c r="Q316" s="84">
        <v>4.3999999999999997E-2</v>
      </c>
      <c r="R316" s="84">
        <v>4.3999999999999997E-2</v>
      </c>
      <c r="S316" s="84">
        <v>4.3999999999999997E-2</v>
      </c>
      <c r="T316" s="84">
        <v>4.3999999999999997E-2</v>
      </c>
      <c r="U316" s="84">
        <v>4.3999999999999997E-2</v>
      </c>
      <c r="V316" s="84">
        <v>4.3999999999999997E-2</v>
      </c>
      <c r="W316" s="84">
        <v>4.3999999999999997E-2</v>
      </c>
      <c r="X316" s="84">
        <v>4.3999999999999997E-2</v>
      </c>
      <c r="Y316" s="84">
        <v>4.3999999999999997E-2</v>
      </c>
      <c r="Z316" s="84">
        <v>4.3999999999999997E-2</v>
      </c>
      <c r="AA316" s="84">
        <v>4.3999999999999997E-2</v>
      </c>
    </row>
    <row r="317" spans="1:27">
      <c r="A317" s="83" t="s">
        <v>22</v>
      </c>
      <c r="B317" s="84">
        <f>B316</f>
        <v>4.3999999999999997E-2</v>
      </c>
      <c r="C317" s="84">
        <f>(1+B317)*(1+C316)-1</f>
        <v>8.9936000000000016E-2</v>
      </c>
      <c r="D317" s="84">
        <f>(1+C317)*(1+D316)-1</f>
        <v>0.13789318400000017</v>
      </c>
      <c r="E317" s="84">
        <f t="shared" ref="E317" si="781">(1+D317)*(1+E316)-1</f>
        <v>0.1879604840960003</v>
      </c>
      <c r="F317" s="84">
        <f t="shared" ref="F317" si="782">(1+E317)*(1+F316)-1</f>
        <v>0.24023074539622447</v>
      </c>
      <c r="G317" s="84">
        <f t="shared" ref="G317" si="783">(1+F317)*(1+G316)-1</f>
        <v>0.29480089819365829</v>
      </c>
      <c r="H317" s="84">
        <f t="shared" ref="H317" si="784">(1+G317)*(1+H316)-1</f>
        <v>0.35177213771417937</v>
      </c>
      <c r="I317" s="84">
        <f t="shared" ref="I317" si="785">(1+H317)*(1+I316)-1</f>
        <v>0.41125011177360338</v>
      </c>
      <c r="J317" s="84">
        <f t="shared" ref="J317" si="786">(1+I317)*(1+J316)-1</f>
        <v>0.47334511669164203</v>
      </c>
      <c r="K317" s="84">
        <f t="shared" ref="K317" si="787">(1+J317)*(1+K316)-1</f>
        <v>0.53817230182607423</v>
      </c>
      <c r="L317" s="84">
        <f t="shared" ref="L317" si="788">(1+K317)*(1+L316)-1</f>
        <v>0.60585188310642146</v>
      </c>
      <c r="M317" s="84">
        <f t="shared" ref="M317" si="789">(1+L317)*(1+M316)-1</f>
        <v>0.67650936596310407</v>
      </c>
      <c r="N317" s="84">
        <f t="shared" ref="N317" si="790">(1+M317)*(1+N316)-1</f>
        <v>0.75027577806548074</v>
      </c>
      <c r="O317" s="84">
        <f t="shared" ref="O317" si="791">(1+N317)*(1+O316)-1</f>
        <v>0.82728791230036203</v>
      </c>
      <c r="P317" s="84">
        <f t="shared" ref="P317" si="792">(1+O317)*(1+P316)-1</f>
        <v>0.90768858044157796</v>
      </c>
      <c r="Q317" s="84">
        <f t="shared" ref="Q317" si="793">(1+P317)*(1+Q316)-1</f>
        <v>0.99162687798100757</v>
      </c>
      <c r="R317" s="84">
        <f t="shared" ref="R317" si="794">(1+Q317)*(1+R316)-1</f>
        <v>1.0792584606121718</v>
      </c>
      <c r="S317" s="84">
        <f t="shared" ref="S317" si="795">(1+R317)*(1+S316)-1</f>
        <v>1.1707458328791076</v>
      </c>
      <c r="T317" s="84">
        <f t="shared" ref="T317" si="796">(1+S317)*(1+T316)-1</f>
        <v>1.2662586495257884</v>
      </c>
      <c r="U317" s="84">
        <f t="shared" ref="U317" si="797">(1+T317)*(1+U316)-1</f>
        <v>1.365974030104923</v>
      </c>
      <c r="V317" s="84">
        <f t="shared" ref="V317" si="798">(1+U317)*(1+V316)-1</f>
        <v>1.4700768874295398</v>
      </c>
      <c r="W317" s="84">
        <f t="shared" ref="W317" si="799">(1+V317)*(1+W316)-1</f>
        <v>1.5787602704764399</v>
      </c>
      <c r="X317" s="84">
        <f t="shared" ref="X317" si="800">(1+W317)*(1+X316)-1</f>
        <v>1.6922257223774033</v>
      </c>
      <c r="Y317" s="84">
        <f t="shared" ref="Y317" si="801">(1+X317)*(1+Y316)-1</f>
        <v>1.810683654162009</v>
      </c>
      <c r="Z317" s="84">
        <f t="shared" ref="Z317" si="802">(1+Y317)*(1+Z316)-1</f>
        <v>1.9343537349451374</v>
      </c>
      <c r="AA317" s="84">
        <f t="shared" ref="AA317" si="803">(1+Z317)*(1+AA316)-1</f>
        <v>2.0634652992827234</v>
      </c>
    </row>
    <row r="318" spans="1:27" ht="16.5" thickBot="1">
      <c r="A318" s="85" t="s">
        <v>23</v>
      </c>
      <c r="B318" s="86"/>
      <c r="C318" s="87">
        <f>3.18*1000000/1.18*0.12*1.075</f>
        <v>347644.06779661012</v>
      </c>
      <c r="D318" s="87">
        <f>C318*(1+D316)</f>
        <v>362940.40677966096</v>
      </c>
      <c r="E318" s="87">
        <f t="shared" ref="E318" si="804">D318*(1+E316)</f>
        <v>378909.78467796603</v>
      </c>
      <c r="F318" s="87">
        <f t="shared" ref="F318" si="805">E318*(1+F316)</f>
        <v>395581.81520379655</v>
      </c>
      <c r="G318" s="87">
        <f t="shared" ref="G318" si="806">F318*(1+G316)</f>
        <v>412987.41507276363</v>
      </c>
      <c r="H318" s="87">
        <f t="shared" ref="H318" si="807">G318*(1+H316)</f>
        <v>431158.86133596522</v>
      </c>
      <c r="I318" s="87">
        <f t="shared" ref="I318" si="808">H318*(1+I316)</f>
        <v>450129.85123474774</v>
      </c>
      <c r="J318" s="87">
        <f t="shared" ref="J318" si="809">I318*(1+J316)</f>
        <v>469935.56468907668</v>
      </c>
      <c r="K318" s="87">
        <f t="shared" ref="K318" si="810">J318*(1+K316)</f>
        <v>490612.72953539609</v>
      </c>
      <c r="L318" s="87">
        <f t="shared" ref="L318" si="811">K318*(1+L316)</f>
        <v>512199.68963495357</v>
      </c>
      <c r="M318" s="87">
        <f t="shared" ref="M318" si="812">L318*(1+M316)</f>
        <v>534736.4759788916</v>
      </c>
      <c r="N318" s="87">
        <f t="shared" ref="N318" si="813">M318*(1+N316)</f>
        <v>558264.8809219629</v>
      </c>
      <c r="O318" s="87">
        <f t="shared" ref="O318" si="814">N318*(1+O316)</f>
        <v>582828.53568252933</v>
      </c>
      <c r="P318" s="87">
        <f t="shared" ref="P318" si="815">O318*(1+P316)</f>
        <v>608472.99125256063</v>
      </c>
      <c r="Q318" s="87">
        <f t="shared" ref="Q318" si="816">P318*(1+Q316)</f>
        <v>635245.80286767334</v>
      </c>
      <c r="R318" s="87">
        <f t="shared" ref="R318" si="817">Q318*(1+R316)</f>
        <v>663196.61819385097</v>
      </c>
      <c r="S318" s="87">
        <f t="shared" ref="S318" si="818">R318*(1+S316)</f>
        <v>692377.26939438039</v>
      </c>
      <c r="T318" s="87">
        <f t="shared" ref="T318" si="819">S318*(1+T316)</f>
        <v>722841.86924773315</v>
      </c>
      <c r="U318" s="87">
        <f t="shared" ref="U318" si="820">T318*(1+U316)</f>
        <v>754646.91149463342</v>
      </c>
      <c r="V318" s="87">
        <f t="shared" ref="V318" si="821">U318*(1+V316)</f>
        <v>787851.37560039735</v>
      </c>
      <c r="W318" s="87">
        <f t="shared" ref="W318" si="822">V318*(1+W316)</f>
        <v>822516.83612681483</v>
      </c>
      <c r="X318" s="87">
        <f t="shared" ref="X318" si="823">W318*(1+X316)</f>
        <v>858707.57691639476</v>
      </c>
      <c r="Y318" s="87">
        <f t="shared" ref="Y318" si="824">X318*(1+Y316)</f>
        <v>896490.71030071611</v>
      </c>
      <c r="Z318" s="87">
        <f t="shared" ref="Z318" si="825">Y318*(1+Z316)</f>
        <v>935936.30155394762</v>
      </c>
      <c r="AA318" s="87">
        <f t="shared" ref="AA318" si="826">Z318*(1+AA316)</f>
        <v>977117.4988223213</v>
      </c>
    </row>
    <row r="319" spans="1:27" ht="16.5" thickBot="1"/>
    <row r="320" spans="1:27" ht="47.25">
      <c r="A320" s="88" t="s">
        <v>24</v>
      </c>
      <c r="B320" s="78" t="s">
        <v>553</v>
      </c>
      <c r="C320" s="79">
        <f>C315</f>
        <v>2017</v>
      </c>
      <c r="D320" s="80">
        <f t="shared" ref="D320" si="827">C320+1</f>
        <v>2018</v>
      </c>
      <c r="E320" s="80">
        <f t="shared" ref="E320" si="828">D320+1</f>
        <v>2019</v>
      </c>
      <c r="F320" s="80">
        <f t="shared" ref="F320" si="829">E320+1</f>
        <v>2020</v>
      </c>
      <c r="G320" s="80">
        <f t="shared" ref="G320" si="830">F320+1</f>
        <v>2021</v>
      </c>
      <c r="H320" s="80">
        <f t="shared" ref="H320" si="831">G320+1</f>
        <v>2022</v>
      </c>
      <c r="I320" s="80">
        <f t="shared" ref="I320" si="832">H320+1</f>
        <v>2023</v>
      </c>
      <c r="J320" s="80">
        <f t="shared" ref="J320" si="833">I320+1</f>
        <v>2024</v>
      </c>
      <c r="K320" s="80">
        <f t="shared" ref="K320" si="834">J320+1</f>
        <v>2025</v>
      </c>
      <c r="L320" s="80">
        <f t="shared" ref="L320" si="835">K320+1</f>
        <v>2026</v>
      </c>
      <c r="M320" s="80">
        <f t="shared" ref="M320" si="836">L320+1</f>
        <v>2027</v>
      </c>
      <c r="N320" s="80">
        <f t="shared" ref="N320" si="837">M320+1</f>
        <v>2028</v>
      </c>
      <c r="O320" s="80">
        <f t="shared" ref="O320" si="838">N320+1</f>
        <v>2029</v>
      </c>
      <c r="P320" s="80">
        <f t="shared" ref="P320" si="839">O320+1</f>
        <v>2030</v>
      </c>
      <c r="Q320" s="80">
        <f t="shared" ref="Q320" si="840">P320+1</f>
        <v>2031</v>
      </c>
      <c r="R320" s="80">
        <f t="shared" ref="R320" si="841">Q320+1</f>
        <v>2032</v>
      </c>
      <c r="S320" s="80">
        <f t="shared" ref="S320" si="842">R320+1</f>
        <v>2033</v>
      </c>
      <c r="T320" s="80">
        <f t="shared" ref="T320" si="843">S320+1</f>
        <v>2034</v>
      </c>
      <c r="U320" s="80">
        <f t="shared" ref="U320" si="844">T320+1</f>
        <v>2035</v>
      </c>
      <c r="V320" s="80">
        <f t="shared" ref="V320" si="845">U320+1</f>
        <v>2036</v>
      </c>
      <c r="W320" s="80">
        <f t="shared" ref="W320" si="846">V320+1</f>
        <v>2037</v>
      </c>
      <c r="X320" s="80">
        <f t="shared" ref="X320" si="847">W320+1</f>
        <v>2038</v>
      </c>
      <c r="Y320" s="80">
        <f t="shared" ref="Y320" si="848">X320+1</f>
        <v>2039</v>
      </c>
      <c r="Z320" s="80">
        <f t="shared" ref="Z320" si="849">Y320+1</f>
        <v>2040</v>
      </c>
      <c r="AA320" s="80">
        <f t="shared" ref="AA320" si="850">Z320+1</f>
        <v>2041</v>
      </c>
    </row>
    <row r="321" spans="1:27">
      <c r="A321" s="89" t="s">
        <v>25</v>
      </c>
      <c r="B321" s="90">
        <v>0</v>
      </c>
      <c r="C321" s="90">
        <f t="shared" ref="C321" si="851">B321+B322-B323</f>
        <v>0</v>
      </c>
      <c r="D321" s="90">
        <f>C321+C322-C323</f>
        <v>0</v>
      </c>
      <c r="E321" s="90">
        <f>D321+D322-D323</f>
        <v>0</v>
      </c>
      <c r="F321" s="90">
        <f t="shared" ref="F321" si="852">E321+E322-E323</f>
        <v>0</v>
      </c>
      <c r="G321" s="90">
        <f t="shared" ref="G321" si="853">F321+F322-F323</f>
        <v>0</v>
      </c>
      <c r="H321" s="90">
        <f t="shared" ref="H321" si="854">G321+G322-G323</f>
        <v>0</v>
      </c>
      <c r="I321" s="90">
        <f>H321+H322-H323</f>
        <v>0</v>
      </c>
      <c r="J321" s="90">
        <f t="shared" ref="J321" si="855">I321+I322-I323</f>
        <v>0</v>
      </c>
      <c r="K321" s="90">
        <f t="shared" ref="K321" si="856">J321+J322-J323</f>
        <v>0</v>
      </c>
      <c r="L321" s="90">
        <f t="shared" ref="L321" si="857">K321+K322-K323</f>
        <v>0</v>
      </c>
      <c r="M321" s="90">
        <f>L321+L322-L323</f>
        <v>0</v>
      </c>
      <c r="N321" s="90">
        <f t="shared" ref="N321" si="858">M321+M322-M323</f>
        <v>0</v>
      </c>
      <c r="O321" s="90">
        <f t="shared" ref="O321" si="859">N321+N322-N323</f>
        <v>0</v>
      </c>
      <c r="P321" s="90">
        <f t="shared" ref="P321" si="860">O321+O322-O323</f>
        <v>0</v>
      </c>
      <c r="Q321" s="90">
        <f t="shared" ref="Q321" si="861">P321+P322-P323</f>
        <v>0</v>
      </c>
      <c r="R321" s="344">
        <f t="shared" ref="R321" si="862">Q321+Q322-Q323</f>
        <v>0</v>
      </c>
      <c r="S321" s="344">
        <f t="shared" ref="S321" si="863">R321+R322-R323</f>
        <v>0</v>
      </c>
      <c r="T321" s="344">
        <f t="shared" ref="T321" si="864">S321+S322-S323</f>
        <v>0</v>
      </c>
      <c r="U321" s="344">
        <f t="shared" ref="U321" si="865">T321+T322-T323</f>
        <v>0</v>
      </c>
      <c r="V321" s="344">
        <f t="shared" ref="V321" si="866">U321+U322-U323</f>
        <v>0</v>
      </c>
      <c r="W321" s="344">
        <f t="shared" ref="W321" si="867">V321+V322-V323</f>
        <v>0</v>
      </c>
      <c r="X321" s="344">
        <f t="shared" ref="X321" si="868">W321+W322-W323</f>
        <v>0</v>
      </c>
      <c r="Y321" s="344">
        <f t="shared" ref="Y321" si="869">X321+X322-X323</f>
        <v>0</v>
      </c>
      <c r="Z321" s="344">
        <f t="shared" ref="Z321" si="870">Y321+Y322-Y323</f>
        <v>0</v>
      </c>
      <c r="AA321" s="344">
        <f t="shared" ref="AA321" si="871">Z321+Z322-Z323</f>
        <v>0</v>
      </c>
    </row>
    <row r="322" spans="1:27">
      <c r="A322" s="89" t="s">
        <v>26</v>
      </c>
      <c r="B322" s="596">
        <v>0</v>
      </c>
      <c r="C322" s="596">
        <v>0</v>
      </c>
      <c r="D322" s="596">
        <v>0</v>
      </c>
      <c r="E322" s="596">
        <v>0</v>
      </c>
      <c r="F322" s="596">
        <v>0</v>
      </c>
      <c r="G322" s="90">
        <v>0</v>
      </c>
      <c r="H322" s="124">
        <v>0</v>
      </c>
      <c r="I322" s="124">
        <v>0</v>
      </c>
      <c r="J322" s="124">
        <v>0</v>
      </c>
      <c r="K322" s="124">
        <v>0</v>
      </c>
      <c r="L322" s="124">
        <v>0</v>
      </c>
      <c r="M322" s="124">
        <v>0</v>
      </c>
      <c r="N322" s="124">
        <v>0</v>
      </c>
      <c r="O322" s="124">
        <v>0</v>
      </c>
      <c r="P322" s="124">
        <v>0</v>
      </c>
      <c r="Q322" s="124">
        <v>0</v>
      </c>
      <c r="R322" s="344">
        <v>0</v>
      </c>
      <c r="S322" s="344">
        <v>0</v>
      </c>
      <c r="T322" s="344">
        <v>0</v>
      </c>
      <c r="U322" s="344">
        <v>0</v>
      </c>
      <c r="V322" s="344">
        <v>0</v>
      </c>
      <c r="W322" s="344">
        <v>0</v>
      </c>
      <c r="X322" s="344">
        <v>0</v>
      </c>
      <c r="Y322" s="344">
        <v>0</v>
      </c>
      <c r="Z322" s="344">
        <v>0</v>
      </c>
      <c r="AA322" s="344">
        <v>0</v>
      </c>
    </row>
    <row r="323" spans="1:27">
      <c r="A323" s="83" t="s">
        <v>27</v>
      </c>
      <c r="B323" s="124">
        <v>0</v>
      </c>
      <c r="C323" s="124">
        <v>0</v>
      </c>
      <c r="D323" s="124">
        <v>0</v>
      </c>
      <c r="E323" s="124"/>
      <c r="F323" s="90"/>
      <c r="G323" s="124">
        <f>G321/7</f>
        <v>0</v>
      </c>
      <c r="H323" s="90">
        <f>IF(ROUND(H321,1)=0,0,G323+H322/$B$30)</f>
        <v>0</v>
      </c>
      <c r="I323" s="90">
        <f>IF(ROUND(I321,1)=0,0,H323+I322/$B$30)</f>
        <v>0</v>
      </c>
      <c r="J323" s="90">
        <f>IF(ROUND(J321,1)=0,0,I323+J322/B308)</f>
        <v>0</v>
      </c>
      <c r="K323" s="90">
        <f>IF(ROUND(K321,1)=0,0,J323+K322/B308)</f>
        <v>0</v>
      </c>
      <c r="L323" s="90">
        <f>IF(ROUND(L321,1)=0,0,K323+L322/B308)</f>
        <v>0</v>
      </c>
      <c r="M323" s="90">
        <f>IF(ROUND(M321,1)=0,0,L323+M322/B308)</f>
        <v>0</v>
      </c>
      <c r="N323" s="90">
        <f>IF(ROUND(N321,1)=0,0,M323+N322/B308)</f>
        <v>0</v>
      </c>
      <c r="O323" s="90">
        <f>IF(ROUND(O321,1)=0,0,N323+O322/B308)</f>
        <v>0</v>
      </c>
      <c r="P323" s="90">
        <f>IF(ROUND(P321,1)=0,0,O323+P322/B308)</f>
        <v>0</v>
      </c>
      <c r="Q323" s="90">
        <f>IF(ROUND(Q321,1)=0,0,P323+Q322/B308)</f>
        <v>0</v>
      </c>
      <c r="R323" s="344">
        <f>IF(ROUND(R321,1)=0,0,Q323+R322/B308)</f>
        <v>0</v>
      </c>
      <c r="S323" s="344">
        <f>IF(ROUND(S321,1)=0,0,R323+S322/B308)</f>
        <v>0</v>
      </c>
      <c r="T323" s="344">
        <f>IF(ROUND(T321,1)=0,0,S323+T322/B308)</f>
        <v>0</v>
      </c>
      <c r="U323" s="344">
        <f>IF(ROUND(U321,1)=0,0,T323+U322/B308)</f>
        <v>0</v>
      </c>
      <c r="V323" s="344">
        <f>IF(ROUND(V321,1)=0,0,U323+V322/B308)</f>
        <v>0</v>
      </c>
      <c r="W323" s="344">
        <f>IF(ROUND(W321,1)=0,0,V323+W322/B308)</f>
        <v>0</v>
      </c>
      <c r="X323" s="344">
        <f>IF(ROUND(X321,1)=0,0,W323+X322/B308)</f>
        <v>0</v>
      </c>
      <c r="Y323" s="344">
        <f>IF(ROUND(Y321,1)=0,0,X323+Y322/B308)</f>
        <v>0</v>
      </c>
      <c r="Z323" s="344">
        <f>IF(ROUND(Z321,1)=0,0,Y323+Z322/B308)</f>
        <v>0</v>
      </c>
      <c r="AA323" s="344">
        <f>IF(ROUND(AA321,1)=0,0,Z323+AA322/B308)</f>
        <v>0</v>
      </c>
    </row>
    <row r="324" spans="1:27" ht="16.5" thickBot="1">
      <c r="A324" s="85" t="s">
        <v>28</v>
      </c>
      <c r="B324" s="91">
        <f>AVERAGE(SUM(B321:B322),(SUM(B321:B322)-B323))*B310</f>
        <v>0</v>
      </c>
      <c r="C324" s="91">
        <f>AVERAGE(SUM(C321:C322),(SUM(C321:C322)-C323))*B310</f>
        <v>0</v>
      </c>
      <c r="D324" s="91">
        <f>AVERAGE(SUM(D321:D322),(SUM(D321:D322)-D323))*B310</f>
        <v>0</v>
      </c>
      <c r="E324" s="91">
        <f>AVERAGE(SUM(E321:E322),(SUM(E321:E322)-E323))*B310</f>
        <v>0</v>
      </c>
      <c r="F324" s="91">
        <f>AVERAGE(SUM(F321:F322),(SUM(F321:F322)-F323))*B310</f>
        <v>0</v>
      </c>
      <c r="G324" s="91">
        <f>AVERAGE(SUM(G321:G322),(SUM(G321:G322)-G323))*B310</f>
        <v>0</v>
      </c>
      <c r="H324" s="91">
        <f>AVERAGE(SUM(H321:H322),(SUM(H321:H322)-H323))*B310</f>
        <v>0</v>
      </c>
      <c r="I324" s="91">
        <f>AVERAGE(SUM(I321:I322),(SUM(I321:I322)-I323))*B310</f>
        <v>0</v>
      </c>
      <c r="J324" s="91">
        <f>AVERAGE(SUM(J321:J322),(SUM(J321:J322)-J323))*B310</f>
        <v>0</v>
      </c>
      <c r="K324" s="91">
        <f>AVERAGE(SUM(K321:K322),(SUM(K321:K322)-K323))*B310</f>
        <v>0</v>
      </c>
      <c r="L324" s="91">
        <f>AVERAGE(SUM(L321:L322),(SUM(L321:L322)-L323))*B310</f>
        <v>0</v>
      </c>
      <c r="M324" s="91">
        <f>AVERAGE(SUM(M321:M322),(SUM(M321:M322)-M323))*B310</f>
        <v>0</v>
      </c>
      <c r="N324" s="91">
        <f>AVERAGE(SUM(N321:N322),(SUM(N321:N322)-N323))*B310</f>
        <v>0</v>
      </c>
      <c r="O324" s="91">
        <f>AVERAGE(SUM(O321:O322),(SUM(O321:O322)-O323))*B310</f>
        <v>0</v>
      </c>
      <c r="P324" s="91">
        <f>AVERAGE(SUM(P321:P322),(SUM(P321:P322)-P323))*B310</f>
        <v>0</v>
      </c>
      <c r="Q324" s="91">
        <f>AVERAGE(SUM(Q321:Q322),(SUM(Q321:Q322)-Q323))*B310</f>
        <v>0</v>
      </c>
      <c r="R324" s="345">
        <f>AVERAGE(SUM(R321:R322),(SUM(R321:R322)-R323))*B310</f>
        <v>0</v>
      </c>
      <c r="S324" s="345">
        <f>AVERAGE(SUM(S321:S322),(SUM(S321:S322)-S323))*B310</f>
        <v>0</v>
      </c>
      <c r="T324" s="345">
        <f>AVERAGE(SUM(T321:T322),(SUM(T321:T322)-T323))*B310</f>
        <v>0</v>
      </c>
      <c r="U324" s="345">
        <f>AVERAGE(SUM(U321:U322),(SUM(U321:U322)-U323))*B310</f>
        <v>0</v>
      </c>
      <c r="V324" s="345">
        <f>AVERAGE(SUM(V321:V322),(SUM(V321:V322)-V323))*B310</f>
        <v>0</v>
      </c>
      <c r="W324" s="345">
        <f>AVERAGE(SUM(W321:W322),(SUM(W321:W322)-W323))*B310</f>
        <v>0</v>
      </c>
      <c r="X324" s="345">
        <f>AVERAGE(SUM(X321:X322),(SUM(X321:X322)-X323))*B310</f>
        <v>0</v>
      </c>
      <c r="Y324" s="345">
        <f>AVERAGE(SUM(Y321:Y322),(SUM(Y321:Y322)-Y323))*B310</f>
        <v>0</v>
      </c>
      <c r="Z324" s="345">
        <f>AVERAGE(SUM(Z321:Z322),(SUM(Z321:Z322)-Z323))*B310</f>
        <v>0</v>
      </c>
      <c r="AA324" s="345">
        <f>AVERAGE(SUM(AA321:AA322),(SUM(AA321:AA322)-AA323))*B310</f>
        <v>0</v>
      </c>
    </row>
    <row r="325" spans="1:27" ht="16.5" thickBot="1">
      <c r="A325" s="92"/>
      <c r="B325" s="93"/>
      <c r="C325" s="93"/>
      <c r="D325" s="93"/>
      <c r="E325" s="93"/>
      <c r="F325" s="93"/>
      <c r="G325" s="93"/>
      <c r="H325" s="93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</row>
    <row r="326" spans="1:27" ht="47.25">
      <c r="A326" s="88" t="s">
        <v>29</v>
      </c>
      <c r="B326" s="78" t="s">
        <v>553</v>
      </c>
      <c r="C326" s="79">
        <f>C320</f>
        <v>2017</v>
      </c>
      <c r="D326" s="80">
        <f t="shared" ref="D326" si="872">C326+1</f>
        <v>2018</v>
      </c>
      <c r="E326" s="80">
        <f t="shared" ref="E326" si="873">D326+1</f>
        <v>2019</v>
      </c>
      <c r="F326" s="80">
        <f t="shared" ref="F326" si="874">E326+1</f>
        <v>2020</v>
      </c>
      <c r="G326" s="80">
        <f t="shared" ref="G326" si="875">F326+1</f>
        <v>2021</v>
      </c>
      <c r="H326" s="80">
        <f t="shared" ref="H326" si="876">G326+1</f>
        <v>2022</v>
      </c>
      <c r="I326" s="80">
        <f t="shared" ref="I326" si="877">H326+1</f>
        <v>2023</v>
      </c>
      <c r="J326" s="80">
        <f t="shared" ref="J326" si="878">I326+1</f>
        <v>2024</v>
      </c>
      <c r="K326" s="80">
        <f t="shared" ref="K326" si="879">J326+1</f>
        <v>2025</v>
      </c>
      <c r="L326" s="80">
        <f t="shared" ref="L326" si="880">K326+1</f>
        <v>2026</v>
      </c>
      <c r="M326" s="80">
        <f t="shared" ref="M326" si="881">L326+1</f>
        <v>2027</v>
      </c>
      <c r="N326" s="80">
        <f t="shared" ref="N326" si="882">M326+1</f>
        <v>2028</v>
      </c>
      <c r="O326" s="80">
        <f t="shared" ref="O326" si="883">N326+1</f>
        <v>2029</v>
      </c>
      <c r="P326" s="80">
        <f t="shared" ref="P326" si="884">O326+1</f>
        <v>2030</v>
      </c>
      <c r="Q326" s="80">
        <f t="shared" ref="Q326" si="885">P326+1</f>
        <v>2031</v>
      </c>
      <c r="R326" s="80">
        <f t="shared" ref="R326" si="886">Q326+1</f>
        <v>2032</v>
      </c>
      <c r="S326" s="80">
        <f t="shared" ref="S326" si="887">R326+1</f>
        <v>2033</v>
      </c>
      <c r="T326" s="80">
        <f t="shared" ref="T326" si="888">S326+1</f>
        <v>2034</v>
      </c>
      <c r="U326" s="80">
        <f t="shared" ref="U326" si="889">T326+1</f>
        <v>2035</v>
      </c>
      <c r="V326" s="80">
        <f t="shared" ref="V326" si="890">U326+1</f>
        <v>2036</v>
      </c>
      <c r="W326" s="80">
        <f t="shared" ref="W326" si="891">V326+1</f>
        <v>2037</v>
      </c>
      <c r="X326" s="80">
        <f t="shared" ref="X326" si="892">W326+1</f>
        <v>2038</v>
      </c>
      <c r="Y326" s="80">
        <f t="shared" ref="Y326" si="893">X326+1</f>
        <v>2039</v>
      </c>
      <c r="Z326" s="80">
        <f t="shared" ref="Z326" si="894">Y326+1</f>
        <v>2040</v>
      </c>
      <c r="AA326" s="80">
        <f t="shared" ref="AA326" si="895">Z326+1</f>
        <v>2041</v>
      </c>
    </row>
    <row r="327" spans="1:27">
      <c r="A327" s="94" t="s">
        <v>30</v>
      </c>
      <c r="B327" s="95"/>
      <c r="C327" s="95">
        <f>C318*B296</f>
        <v>347644.06779661012</v>
      </c>
      <c r="D327" s="95">
        <f>D318*B296</f>
        <v>362940.40677966096</v>
      </c>
      <c r="E327" s="95">
        <f>E318*B296</f>
        <v>378909.78467796603</v>
      </c>
      <c r="F327" s="95">
        <f>F318*B296</f>
        <v>395581.81520379655</v>
      </c>
      <c r="G327" s="95">
        <f>G318*B296</f>
        <v>412987.41507276363</v>
      </c>
      <c r="H327" s="95">
        <f>H318*B296</f>
        <v>431158.86133596522</v>
      </c>
      <c r="I327" s="95">
        <f>I318*B296</f>
        <v>450129.85123474774</v>
      </c>
      <c r="J327" s="95">
        <f>J318*B296</f>
        <v>469935.56468907668</v>
      </c>
      <c r="K327" s="95">
        <f>K318*B296</f>
        <v>490612.72953539609</v>
      </c>
      <c r="L327" s="95">
        <f>L318*B296</f>
        <v>512199.68963495357</v>
      </c>
      <c r="M327" s="95">
        <f>M318*B296</f>
        <v>534736.4759788916</v>
      </c>
      <c r="N327" s="95">
        <f>N318*B296</f>
        <v>558264.8809219629</v>
      </c>
      <c r="O327" s="95">
        <f>O318*B296</f>
        <v>582828.53568252933</v>
      </c>
      <c r="P327" s="95">
        <f>P318*B296</f>
        <v>608472.99125256063</v>
      </c>
      <c r="Q327" s="95">
        <f>Q318*B296</f>
        <v>635245.80286767334</v>
      </c>
      <c r="R327" s="95">
        <f>R318*B296</f>
        <v>663196.61819385097</v>
      </c>
      <c r="S327" s="95">
        <f>S318*B296</f>
        <v>692377.26939438039</v>
      </c>
      <c r="T327" s="95">
        <f>T318*B296</f>
        <v>722841.86924773315</v>
      </c>
      <c r="U327" s="95">
        <f>U318*B296</f>
        <v>754646.91149463342</v>
      </c>
      <c r="V327" s="95">
        <f>V318*B296</f>
        <v>787851.37560039735</v>
      </c>
      <c r="W327" s="95">
        <f>W318*B296</f>
        <v>822516.83612681483</v>
      </c>
      <c r="X327" s="95">
        <f>X318*B296</f>
        <v>858707.57691639476</v>
      </c>
      <c r="Y327" s="95">
        <f>Y318*B296</f>
        <v>896490.71030071611</v>
      </c>
      <c r="Z327" s="95">
        <f>Z318*B296</f>
        <v>935936.30155394762</v>
      </c>
      <c r="AA327" s="95">
        <f>AA318*B296</f>
        <v>977117.4988223213</v>
      </c>
    </row>
    <row r="328" spans="1:27">
      <c r="A328" s="89" t="s">
        <v>31</v>
      </c>
      <c r="B328" s="96"/>
      <c r="C328" s="96">
        <f>SUM(C329:C334)</f>
        <v>-17089.961018305086</v>
      </c>
      <c r="D328" s="96">
        <f t="shared" ref="D328:AA328" si="896">SUM(D329:D334)</f>
        <v>-18099.958173167011</v>
      </c>
      <c r="E328" s="96">
        <f t="shared" si="896"/>
        <v>-18924.501417532123</v>
      </c>
      <c r="F328" s="96">
        <f t="shared" si="896"/>
        <v>-19776.027389508061</v>
      </c>
      <c r="G328" s="96">
        <f t="shared" si="896"/>
        <v>-72748.491690691619</v>
      </c>
      <c r="H328" s="96">
        <f t="shared" si="896"/>
        <v>-71470.026455025552</v>
      </c>
      <c r="I328" s="96">
        <f t="shared" si="896"/>
        <v>-70222.26468119357</v>
      </c>
      <c r="J328" s="96">
        <f t="shared" si="896"/>
        <v>-69006.55732151636</v>
      </c>
      <c r="K328" s="96">
        <f t="shared" si="896"/>
        <v>-67824.314770216763</v>
      </c>
      <c r="L328" s="96">
        <f t="shared" si="896"/>
        <v>-66677.009478863358</v>
      </c>
      <c r="M328" s="96">
        <f t="shared" si="896"/>
        <v>-65566.178686893792</v>
      </c>
      <c r="N328" s="96">
        <f t="shared" si="896"/>
        <v>-64493.427272280962</v>
      </c>
      <c r="O328" s="96">
        <f t="shared" si="896"/>
        <v>-63460.430727628554</v>
      </c>
      <c r="P328" s="96">
        <f t="shared" si="896"/>
        <v>-62468.938267214835</v>
      </c>
      <c r="Q328" s="96">
        <f t="shared" si="896"/>
        <v>-61520.776070746302</v>
      </c>
      <c r="R328" s="96">
        <f t="shared" si="896"/>
        <v>-60617.850669836538</v>
      </c>
      <c r="S328" s="96">
        <f t="shared" si="896"/>
        <v>-59762.152483490136</v>
      </c>
      <c r="T328" s="96">
        <f t="shared" si="896"/>
        <v>-58955.759509147894</v>
      </c>
      <c r="U328" s="96">
        <f t="shared" si="896"/>
        <v>-58200.841176137968</v>
      </c>
      <c r="V328" s="96">
        <f t="shared" si="896"/>
        <v>-59475.933555119678</v>
      </c>
      <c r="W328" s="96">
        <f t="shared" si="896"/>
        <v>-60807.129998776581</v>
      </c>
      <c r="X328" s="96">
        <f t="shared" si="896"/>
        <v>-62196.899085954399</v>
      </c>
      <c r="Y328" s="96">
        <f t="shared" si="896"/>
        <v>-63647.818012968026</v>
      </c>
      <c r="Z328" s="96">
        <f t="shared" si="896"/>
        <v>-65162.577372770254</v>
      </c>
      <c r="AA328" s="96">
        <f t="shared" si="896"/>
        <v>-66743.986144403782</v>
      </c>
    </row>
    <row r="329" spans="1:27">
      <c r="A329" s="97" t="s">
        <v>32</v>
      </c>
      <c r="B329" s="96"/>
      <c r="C329" s="96">
        <f>-IF(C315&lt;=B298,0,B297*(1+C317)*B296)</f>
        <v>-12248.479086101697</v>
      </c>
      <c r="D329" s="96">
        <f>-IF(D315&lt;=B298,0,B297*(1+D317)*B296)</f>
        <v>-12787.412165890173</v>
      </c>
      <c r="E329" s="96">
        <f>-IF(E315&lt;=B298,0,B297*(1+E317)*B296)</f>
        <v>-13350.058301189341</v>
      </c>
      <c r="F329" s="96">
        <f>-IF(F315&lt;=B298,0,B297*(1+F317)*B296)</f>
        <v>-13937.460866441676</v>
      </c>
      <c r="G329" s="96">
        <f>-IF(G315&lt;=B298,0,B297*(1+G317)*B296)</f>
        <v>-14550.709144565108</v>
      </c>
      <c r="H329" s="96">
        <f>-IF(H315&lt;=B298,0,B297*(1+H317)*B296)</f>
        <v>-15190.940346925974</v>
      </c>
      <c r="I329" s="96">
        <f>-IF(I315&lt;=B298,0,B297*(1+I317)*B296)</f>
        <v>-15859.341722190718</v>
      </c>
      <c r="J329" s="96">
        <f>-IF(J315&lt;=B298,0,B297*(1+J317)*B296)</f>
        <v>-16557.152757967109</v>
      </c>
      <c r="K329" s="96">
        <f>-IF(K315&lt;=B298,0,B297*(1+K317)*B296)</f>
        <v>-17285.667479317664</v>
      </c>
      <c r="L329" s="96">
        <f>-IF(L315&lt;=B298,0,B297*(1+L317)*B296)</f>
        <v>-18046.23684840764</v>
      </c>
      <c r="M329" s="96">
        <f>-IF(M315&lt;=B298,0,B297*(1+M317)*B296)</f>
        <v>-18840.271269737575</v>
      </c>
      <c r="N329" s="96">
        <f>-IF(N315&lt;=B298,0,B297*(1+N317)*B296)</f>
        <v>-19669.243205606032</v>
      </c>
      <c r="O329" s="96">
        <f>-IF(O315&lt;=B298,0,B297*(1+O317)*B296)</f>
        <v>-20534.689906652697</v>
      </c>
      <c r="P329" s="96">
        <f>-IF(P315&lt;=B298,0,B297*(1+P317)*B296)</f>
        <v>-21438.216262545418</v>
      </c>
      <c r="Q329" s="96">
        <f>-IF(Q315&lt;=B298,0,B297*(1+Q317)*B296)</f>
        <v>-22381.497778097419</v>
      </c>
      <c r="R329" s="96">
        <f>-IF(R315&lt;=B298,0,B297*(1+R317)*B296)</f>
        <v>-23366.283680333701</v>
      </c>
      <c r="S329" s="96">
        <f>-IF(S315&lt;=B298,0,B297*(1+S317)*B296)</f>
        <v>-24394.400162268386</v>
      </c>
      <c r="T329" s="96">
        <f>-IF(T315&lt;=B298,0,B297*(1+T317)*B296)</f>
        <v>-25467.753769408198</v>
      </c>
      <c r="U329" s="96">
        <f>-IF(U315&lt;=B298,0,B297*(1+U317)*B296)</f>
        <v>-26588.334935262159</v>
      </c>
      <c r="V329" s="96">
        <f>-IF(V315&lt;=B298,0,B297*(1+V317)*B296)</f>
        <v>-27758.221672413696</v>
      </c>
      <c r="W329" s="96">
        <f>-IF(W315&lt;=B298,0,B297*(1+W317)*B296)</f>
        <v>-28979.583425999899</v>
      </c>
      <c r="X329" s="96">
        <f>-IF(X315&lt;=B298,0,B297*(1+X317)*B296)</f>
        <v>-30254.685096743899</v>
      </c>
      <c r="Y329" s="96">
        <f>-IF(Y315&lt;=B298,0,B297*(1+Y317)*B296)</f>
        <v>-31585.891241000627</v>
      </c>
      <c r="Z329" s="96">
        <f>-IF(Z315&lt;=B298,0,B297*(1+Z317)*B296)</f>
        <v>-32975.670455604653</v>
      </c>
      <c r="AA329" s="96">
        <f>-IF(AA315&lt;=B298,0,B297*(1+AA317)*B296)</f>
        <v>-34426.599955651262</v>
      </c>
    </row>
    <row r="330" spans="1:27">
      <c r="A330" s="97" t="str">
        <f>A300</f>
        <v>Прочие расходы при эксплуатации объекта, руб. без НДС</v>
      </c>
      <c r="B330" s="96"/>
      <c r="C330" s="96">
        <f>-IF(C315&lt;=B301,0,B300*(1+C317)*B296)</f>
        <v>-1101.48193220339</v>
      </c>
      <c r="D330" s="96">
        <f>-IF(D315&lt;=B301,0,B300*(1+D317)*B296)</f>
        <v>-1149.9471372203393</v>
      </c>
      <c r="E330" s="96">
        <f>-IF(E315&lt;=B301,0,B300*(1+E317)*B296)</f>
        <v>-1200.5448112580343</v>
      </c>
      <c r="F330" s="96">
        <f>-IF(F315&lt;=B301,0,B300*(1+F317)*B296)</f>
        <v>-1253.3687829533878</v>
      </c>
      <c r="G330" s="96">
        <f>-IF(G315&lt;=B301,0,B300*(1+G317)*B296)</f>
        <v>-1308.5170094033369</v>
      </c>
      <c r="H330" s="96">
        <f>-IF(H315&lt;=B301,0,B300*(1+H317)*B296)</f>
        <v>-1366.0917578170838</v>
      </c>
      <c r="I330" s="96">
        <f>-IF(I315&lt;=B301,0,B300*(1+I317)*B296)</f>
        <v>-1426.1997951610356</v>
      </c>
      <c r="J330" s="96">
        <f>-IF(J315&lt;=B301,0,B300*(1+J317)*B296)</f>
        <v>-1488.9525861481213</v>
      </c>
      <c r="K330" s="96">
        <f>-IF(K315&lt;=B301,0,B300*(1+K317)*B296)</f>
        <v>-1554.4664999386387</v>
      </c>
      <c r="L330" s="96">
        <f>-IF(L315&lt;=B301,0,B300*(1+L317)*B296)</f>
        <v>-1622.8630259359386</v>
      </c>
      <c r="M330" s="96">
        <f>-IF(M315&lt;=B301,0,B300*(1+M317)*B296)</f>
        <v>-1694.26899907712</v>
      </c>
      <c r="N330" s="96">
        <f>-IF(N315&lt;=B301,0,B300*(1+N317)*B296)</f>
        <v>-1768.8168350365133</v>
      </c>
      <c r="O330" s="96">
        <f>-IF(O315&lt;=B301,0,B300*(1+O317)*B296)</f>
        <v>-1846.6447757781202</v>
      </c>
      <c r="P330" s="96">
        <f>-IF(P315&lt;=B301,0,B300*(1+P317)*B296)</f>
        <v>-1927.8971459123575</v>
      </c>
      <c r="Q330" s="96">
        <f>-IF(Q315&lt;=B301,0,B300*(1+Q317)*B296)</f>
        <v>-2012.7246203325014</v>
      </c>
      <c r="R330" s="96">
        <f>-IF(R315&lt;=B301,0,B300*(1+R317)*B296)</f>
        <v>-2101.2845036271315</v>
      </c>
      <c r="S330" s="96">
        <f>-IF(S315&lt;=B301,0,B300*(1+S317)*B296)</f>
        <v>-2193.7410217867255</v>
      </c>
      <c r="T330" s="96">
        <f>-IF(T315&lt;=B301,0,B300*(1+T317)*B296)</f>
        <v>-2290.2656267453413</v>
      </c>
      <c r="U330" s="96">
        <f>-IF(U315&lt;=B301,0,B300*(1+U317)*B296)</f>
        <v>-2391.0373143221364</v>
      </c>
      <c r="V330" s="96">
        <f>-IF(V315&lt;=B301,0,B300*(1+V317)*B296)</f>
        <v>-2496.2429561523104</v>
      </c>
      <c r="W330" s="96">
        <f>-IF(W315&lt;=B301,0,B300*(1+W317)*B296)</f>
        <v>-2606.0776462230124</v>
      </c>
      <c r="X330" s="96">
        <f>-IF(X315&lt;=B301,0,B300*(1+X317)*B296)</f>
        <v>-2720.7450626568252</v>
      </c>
      <c r="Y330" s="96">
        <f>-IF(Y315&lt;=B301,0,B300*(1+Y317)*B296)</f>
        <v>-2840.4578454137254</v>
      </c>
      <c r="Z330" s="96">
        <f>-IF(Z315&lt;=B301,0,B300*(1+Z317)*B296)</f>
        <v>-2965.4379906119293</v>
      </c>
      <c r="AA330" s="96">
        <f>-IF(AA315&lt;=B301,0,B300*(1+AA317)*B296)</f>
        <v>-3095.9172621988541</v>
      </c>
    </row>
    <row r="331" spans="1:27">
      <c r="A331" s="97" t="s">
        <v>290</v>
      </c>
      <c r="B331" s="96"/>
      <c r="C331" s="96"/>
      <c r="D331" s="96"/>
      <c r="E331" s="96"/>
      <c r="F331" s="96"/>
      <c r="G331" s="96"/>
      <c r="H331" s="96"/>
      <c r="I331" s="96"/>
      <c r="J331" s="96"/>
      <c r="K331" s="96"/>
      <c r="L331" s="96"/>
      <c r="M331" s="96"/>
      <c r="N331" s="96"/>
      <c r="O331" s="96"/>
      <c r="P331" s="96"/>
      <c r="Q331" s="96"/>
      <c r="R331" s="96"/>
      <c r="S331" s="96"/>
      <c r="T331" s="96"/>
      <c r="U331" s="96"/>
      <c r="V331" s="96"/>
      <c r="W331" s="96"/>
      <c r="X331" s="96"/>
      <c r="Y331" s="96"/>
      <c r="Z331" s="96"/>
      <c r="AA331" s="96"/>
    </row>
    <row r="332" spans="1:27">
      <c r="A332" s="97" t="s">
        <v>290</v>
      </c>
      <c r="B332" s="96"/>
      <c r="C332" s="96"/>
      <c r="D332" s="96"/>
      <c r="E332" s="96"/>
      <c r="F332" s="96"/>
      <c r="G332" s="96"/>
      <c r="H332" s="96"/>
      <c r="I332" s="96"/>
      <c r="J332" s="96"/>
      <c r="K332" s="96"/>
      <c r="L332" s="96"/>
      <c r="M332" s="96"/>
      <c r="N332" s="96"/>
      <c r="O332" s="96"/>
      <c r="P332" s="96"/>
      <c r="Q332" s="96"/>
      <c r="R332" s="96"/>
      <c r="S332" s="96"/>
      <c r="T332" s="96"/>
      <c r="U332" s="96"/>
      <c r="V332" s="96"/>
      <c r="W332" s="96"/>
      <c r="X332" s="96"/>
      <c r="Y332" s="96"/>
      <c r="Z332" s="96"/>
      <c r="AA332" s="96"/>
    </row>
    <row r="333" spans="1:27">
      <c r="A333" s="97" t="s">
        <v>290</v>
      </c>
      <c r="B333" s="96"/>
      <c r="C333" s="96"/>
      <c r="D333" s="96"/>
      <c r="E333" s="96"/>
      <c r="F333" s="96"/>
      <c r="G333" s="96"/>
      <c r="H333" s="96"/>
      <c r="I333" s="96"/>
      <c r="J333" s="96"/>
      <c r="K333" s="96"/>
      <c r="L333" s="96"/>
      <c r="M333" s="96"/>
      <c r="N333" s="96"/>
      <c r="O333" s="96"/>
      <c r="P333" s="96"/>
      <c r="Q333" s="96"/>
      <c r="R333" s="96"/>
      <c r="S333" s="96"/>
      <c r="T333" s="96"/>
      <c r="U333" s="96"/>
      <c r="V333" s="96"/>
      <c r="W333" s="96"/>
      <c r="X333" s="96"/>
      <c r="Y333" s="96"/>
      <c r="Z333" s="96"/>
      <c r="AA333" s="96"/>
    </row>
    <row r="334" spans="1:27">
      <c r="A334" s="97" t="s">
        <v>33</v>
      </c>
      <c r="B334" s="96"/>
      <c r="C334" s="96">
        <f>-(((B293+B294)*B296+(B293+B294)*B296+SUM(B336:C336))/2*2.2%*0+0.17*1000000*2.2%)</f>
        <v>-3740.0000000000005</v>
      </c>
      <c r="D334" s="96">
        <f>-(0.17*1000000-D336-C336)*2.2%</f>
        <v>-4162.5988700564976</v>
      </c>
      <c r="E334" s="96">
        <f>-(0.17*1000000-E336-D336-C336)*2.2%</f>
        <v>-4373.8983050847464</v>
      </c>
      <c r="F334" s="96">
        <f>-(0.17*1000000-F336-E336-D336-C336)*2.2%</f>
        <v>-4585.1977401129952</v>
      </c>
      <c r="G334" s="96">
        <f>-((B293+B294)*B296+(B293+B294)*B296+SUM(B336:G336))/2*2.2%</f>
        <v>-56889.265536723171</v>
      </c>
      <c r="H334" s="96">
        <f>-((B293+B294)*B296+(B293+B294)*B296+SUM(B336:H336))/2*2.2%</f>
        <v>-54912.99435028249</v>
      </c>
      <c r="I334" s="96">
        <f>-((B293+B294)*B296+(B293+B294)*B296+SUM(B336:I336))/2*2.2%</f>
        <v>-52936.723163841809</v>
      </c>
      <c r="J334" s="96">
        <f>-((B293+B294)*B296+(B293+B294)*B296+SUM(B336:J336))/2*2.2%</f>
        <v>-50960.451977401135</v>
      </c>
      <c r="K334" s="96">
        <f>-((B293+B294)*B296+(B293+B294)*B296+SUM(B336:K336))/2*2.2%</f>
        <v>-48984.180790960454</v>
      </c>
      <c r="L334" s="96">
        <f>-((B293+B294)*B296+(B293+B294)*B296+SUM(B336:L336))/2*2.2%</f>
        <v>-47007.909604519773</v>
      </c>
      <c r="M334" s="96">
        <f>-((B293+B294)*B296+(B293+B294)*B296+SUM(B336:M336))/2*2.2%</f>
        <v>-45031.638418079099</v>
      </c>
      <c r="N334" s="96">
        <f>-((B293+B294)*B296+(B293+B294)*B296+SUM(B336:N336))/2*2.2%</f>
        <v>-43055.367231638418</v>
      </c>
      <c r="O334" s="96">
        <f>-((B293+B294)*B296+(B293+B294)*B296+SUM(B336:O336))/2*2.2%</f>
        <v>-41079.096045197737</v>
      </c>
      <c r="P334" s="96">
        <f>-((B293+B294)*B296+(B293+B294)*B296+SUM(B336:P336))/2*2.2%</f>
        <v>-39102.824858757063</v>
      </c>
      <c r="Q334" s="96">
        <f>-((B293+B294)*B296+(B293+B294)*B296+SUM(B336:Q336))/2*2.2%</f>
        <v>-37126.553672316382</v>
      </c>
      <c r="R334" s="96">
        <f>-((B293+B294)*B296+(B293+B294)*B296+SUM(B336:R336))/2*2.2%</f>
        <v>-35150.282485875709</v>
      </c>
      <c r="S334" s="96">
        <f>-((B293+B294)*B296+(B293+B294)*B296+SUM(B336:S336))/2*2.2%</f>
        <v>-33174.011299435027</v>
      </c>
      <c r="T334" s="96">
        <f>-((B293+B294)*B296+(B293+B294)*B296+SUM(B336:T336))/2*2.2%</f>
        <v>-31197.740112994354</v>
      </c>
      <c r="U334" s="96">
        <f>-((B293+B294)*B296+(B293+B294)*B296+SUM(B336:U336))/2*2.2%</f>
        <v>-29221.468926553673</v>
      </c>
      <c r="V334" s="96">
        <f>-((B293+B294)*B296+(B293+B294)*B296+SUM(B336:V336))/2*2.2%</f>
        <v>-29221.468926553673</v>
      </c>
      <c r="W334" s="96">
        <f>-((B293+B294)*B296+(B293+B294)*B296+SUM(B336:W336))/2*2.2%</f>
        <v>-29221.468926553673</v>
      </c>
      <c r="X334" s="96">
        <f>-((B293+B294)*B296+(B293+B294)*B296+SUM(B336:X336))/2*2.2%</f>
        <v>-29221.468926553673</v>
      </c>
      <c r="Y334" s="96">
        <f>-((B293+B294)*B296+(B293+B294)*B296+SUM(B336:Y336))/2*2.2%</f>
        <v>-29221.468926553673</v>
      </c>
      <c r="Z334" s="96">
        <f>-((B293+B294)*B296+(B293+B294)*B296+SUM(B336:Z336))/2*2.2%</f>
        <v>-29221.468926553673</v>
      </c>
      <c r="AA334" s="96">
        <f>-((B293+B294)*B296+(B293+B294)*B296+SUM(B336:AA336))/2*2.2%</f>
        <v>-29221.468926553673</v>
      </c>
    </row>
    <row r="335" spans="1:27">
      <c r="A335" s="98" t="s">
        <v>114</v>
      </c>
      <c r="B335" s="95"/>
      <c r="C335" s="95">
        <f>C327+C328</f>
        <v>330554.10677830502</v>
      </c>
      <c r="D335" s="95">
        <f t="shared" ref="D335:AA335" si="897">D327+D328</f>
        <v>344840.44860649394</v>
      </c>
      <c r="E335" s="95">
        <f t="shared" si="897"/>
        <v>359985.28326043393</v>
      </c>
      <c r="F335" s="95">
        <f t="shared" si="897"/>
        <v>375805.78781428852</v>
      </c>
      <c r="G335" s="95">
        <f t="shared" si="897"/>
        <v>340238.92338207201</v>
      </c>
      <c r="H335" s="95">
        <f t="shared" si="897"/>
        <v>359688.83488093968</v>
      </c>
      <c r="I335" s="95">
        <f t="shared" si="897"/>
        <v>379907.58655355417</v>
      </c>
      <c r="J335" s="95">
        <f t="shared" si="897"/>
        <v>400929.00736756029</v>
      </c>
      <c r="K335" s="95">
        <f t="shared" si="897"/>
        <v>422788.41476517933</v>
      </c>
      <c r="L335" s="95">
        <f t="shared" si="897"/>
        <v>445522.68015609018</v>
      </c>
      <c r="M335" s="95">
        <f t="shared" si="897"/>
        <v>469170.29729199782</v>
      </c>
      <c r="N335" s="95">
        <f t="shared" si="897"/>
        <v>493771.45364968193</v>
      </c>
      <c r="O335" s="95">
        <f t="shared" si="897"/>
        <v>519368.1049549008</v>
      </c>
      <c r="P335" s="95">
        <f t="shared" si="897"/>
        <v>546004.05298534583</v>
      </c>
      <c r="Q335" s="95">
        <f t="shared" si="897"/>
        <v>573725.02679692698</v>
      </c>
      <c r="R335" s="95">
        <f t="shared" si="897"/>
        <v>602578.76752401446</v>
      </c>
      <c r="S335" s="95">
        <f t="shared" si="897"/>
        <v>632615.11691089021</v>
      </c>
      <c r="T335" s="95">
        <f t="shared" si="897"/>
        <v>663886.10973858531</v>
      </c>
      <c r="U335" s="95">
        <f t="shared" si="897"/>
        <v>696446.07031849539</v>
      </c>
      <c r="V335" s="95">
        <f t="shared" si="897"/>
        <v>728375.44204527768</v>
      </c>
      <c r="W335" s="95">
        <f t="shared" si="897"/>
        <v>761709.70612803823</v>
      </c>
      <c r="X335" s="95">
        <f t="shared" si="897"/>
        <v>796510.67783044034</v>
      </c>
      <c r="Y335" s="95">
        <f t="shared" si="897"/>
        <v>832842.89228774805</v>
      </c>
      <c r="Z335" s="95">
        <f t="shared" si="897"/>
        <v>870773.72418117733</v>
      </c>
      <c r="AA335" s="95">
        <f t="shared" si="897"/>
        <v>910373.51267791749</v>
      </c>
    </row>
    <row r="336" spans="1:27">
      <c r="A336" s="97" t="s">
        <v>278</v>
      </c>
      <c r="B336" s="96"/>
      <c r="C336" s="96">
        <f>-0.17*1000000/1.18/15</f>
        <v>-9604.5197740112999</v>
      </c>
      <c r="D336" s="96">
        <f>C336</f>
        <v>-9604.5197740112999</v>
      </c>
      <c r="E336" s="96">
        <f>D336</f>
        <v>-9604.5197740112999</v>
      </c>
      <c r="F336" s="96">
        <f>E336</f>
        <v>-9604.5197740112999</v>
      </c>
      <c r="G336" s="96">
        <f>IF(B293-ABS(SUM(B336:F336))&gt;0,-B293/B295,0)</f>
        <v>-179661.01694915254</v>
      </c>
      <c r="H336" s="96">
        <f>IF(B293-ABS(SUM(B336:G336))&gt;0,-B293/B295,0)</f>
        <v>-179661.01694915254</v>
      </c>
      <c r="I336" s="96">
        <f>IF(B293-ABS(SUM(B336:H336))&gt;0,-B293/B295,0)</f>
        <v>-179661.01694915254</v>
      </c>
      <c r="J336" s="96">
        <f>IF(B293-ABS(SUM(B336:I336))&gt;0,-B293/B295,0)</f>
        <v>-179661.01694915254</v>
      </c>
      <c r="K336" s="96">
        <f>IF(B293-ABS(SUM(B336:J336))&gt;0,-B293/B295,0)</f>
        <v>-179661.01694915254</v>
      </c>
      <c r="L336" s="96">
        <f>IF(B293-ABS(SUM(B336:K336))&gt;0,-B293/B295,0)</f>
        <v>-179661.01694915254</v>
      </c>
      <c r="M336" s="96">
        <f>IF(B293-ABS(SUM(B336:L336))&gt;0,-B293/B295,0)</f>
        <v>-179661.01694915254</v>
      </c>
      <c r="N336" s="96">
        <f>IF(B293-ABS(SUM(B336:M336))&gt;0,-B293/B295,0)</f>
        <v>-179661.01694915254</v>
      </c>
      <c r="O336" s="96">
        <f>IF(B293-ABS(SUM(B336:N336))&gt;0,-B293/B295,0)</f>
        <v>-179661.01694915254</v>
      </c>
      <c r="P336" s="96">
        <f>IF(B293-ABS(SUM(B336:O336))&gt;0,-B293/B295,0)</f>
        <v>-179661.01694915254</v>
      </c>
      <c r="Q336" s="96">
        <f>IF(B293-ABS(SUM(B336:P336))&gt;0,-B293/B295,0)</f>
        <v>-179661.01694915254</v>
      </c>
      <c r="R336" s="96">
        <f>IF(B293-ABS(SUM(B336:Q336))&gt;0,-B293/B295,0)</f>
        <v>-179661.01694915254</v>
      </c>
      <c r="S336" s="96">
        <f>IF(B293-ABS(SUM(B336:R336))&gt;0,-B293/B295,0)</f>
        <v>-179661.01694915254</v>
      </c>
      <c r="T336" s="96">
        <f>IF(B293-ABS(SUM(B336:S336))&gt;0,-B293/B295,0)</f>
        <v>-179661.01694915254</v>
      </c>
      <c r="U336" s="96">
        <f>IF(B293-ABS(SUM(B336:T336))&gt;0,-B293/B295,0)</f>
        <v>-179661.01694915254</v>
      </c>
      <c r="V336" s="96">
        <f>IF(B293-ABS(SUM(B336:U336))&gt;0,-B293/B295,0)</f>
        <v>0</v>
      </c>
      <c r="W336" s="96">
        <f>IF(B293-ABS(SUM(B336:V336))&gt;0,-B293/B295,0)</f>
        <v>0</v>
      </c>
      <c r="X336" s="96">
        <f>IF(B293-ABS(SUM(B336:W336))&gt;0,-B293/B295,0)</f>
        <v>0</v>
      </c>
      <c r="Y336" s="96">
        <f>IF(B293-ABS(SUM(B336:X336))&gt;0,-B293/B295,0)</f>
        <v>0</v>
      </c>
      <c r="Z336" s="96">
        <f>IF(B293-ABS(SUM(B336:Y336))&gt;0,-B293/B295,0)</f>
        <v>0</v>
      </c>
      <c r="AA336" s="96">
        <f>IF(B293-ABS(SUM(B336:Z336))&gt;0,-B293/B295,0)</f>
        <v>0</v>
      </c>
    </row>
    <row r="337" spans="1:27">
      <c r="A337" s="98" t="s">
        <v>34</v>
      </c>
      <c r="B337" s="95"/>
      <c r="C337" s="95">
        <f>C335+C336</f>
        <v>320949.58700429375</v>
      </c>
      <c r="D337" s="95">
        <f t="shared" ref="D337:AA337" si="898">D335+D336</f>
        <v>335235.92883248266</v>
      </c>
      <c r="E337" s="95">
        <f t="shared" si="898"/>
        <v>350380.76348642266</v>
      </c>
      <c r="F337" s="95">
        <f t="shared" si="898"/>
        <v>366201.26804027724</v>
      </c>
      <c r="G337" s="95">
        <f t="shared" si="898"/>
        <v>160577.90643291947</v>
      </c>
      <c r="H337" s="95">
        <f t="shared" si="898"/>
        <v>180027.81793178714</v>
      </c>
      <c r="I337" s="95">
        <f t="shared" si="898"/>
        <v>200246.56960440162</v>
      </c>
      <c r="J337" s="95">
        <f t="shared" si="898"/>
        <v>221267.99041840775</v>
      </c>
      <c r="K337" s="95">
        <f t="shared" si="898"/>
        <v>243127.39781602679</v>
      </c>
      <c r="L337" s="95">
        <f t="shared" si="898"/>
        <v>265861.66320693761</v>
      </c>
      <c r="M337" s="95">
        <f t="shared" si="898"/>
        <v>289509.28034284525</v>
      </c>
      <c r="N337" s="95">
        <f t="shared" si="898"/>
        <v>314110.43670052942</v>
      </c>
      <c r="O337" s="95">
        <f t="shared" si="898"/>
        <v>339707.08800574823</v>
      </c>
      <c r="P337" s="95">
        <f t="shared" si="898"/>
        <v>366343.03603619325</v>
      </c>
      <c r="Q337" s="95">
        <f t="shared" si="898"/>
        <v>394064.0098477744</v>
      </c>
      <c r="R337" s="95">
        <f t="shared" si="898"/>
        <v>422917.75057486189</v>
      </c>
      <c r="S337" s="95">
        <f t="shared" si="898"/>
        <v>452954.09996173764</v>
      </c>
      <c r="T337" s="95">
        <f t="shared" si="898"/>
        <v>484225.09278943273</v>
      </c>
      <c r="U337" s="95">
        <f t="shared" si="898"/>
        <v>516785.05336934282</v>
      </c>
      <c r="V337" s="95">
        <f t="shared" si="898"/>
        <v>728375.44204527768</v>
      </c>
      <c r="W337" s="95">
        <f t="shared" si="898"/>
        <v>761709.70612803823</v>
      </c>
      <c r="X337" s="95">
        <f t="shared" si="898"/>
        <v>796510.67783044034</v>
      </c>
      <c r="Y337" s="95">
        <f t="shared" si="898"/>
        <v>832842.89228774805</v>
      </c>
      <c r="Z337" s="95">
        <f t="shared" si="898"/>
        <v>870773.72418117733</v>
      </c>
      <c r="AA337" s="95">
        <f t="shared" si="898"/>
        <v>910373.51267791749</v>
      </c>
    </row>
    <row r="338" spans="1:27">
      <c r="A338" s="97" t="s">
        <v>62</v>
      </c>
      <c r="B338" s="96">
        <f t="shared" ref="B338:AA338" si="899">-B324</f>
        <v>0</v>
      </c>
      <c r="C338" s="96">
        <f t="shared" si="899"/>
        <v>0</v>
      </c>
      <c r="D338" s="96">
        <f t="shared" si="899"/>
        <v>0</v>
      </c>
      <c r="E338" s="96">
        <f t="shared" si="899"/>
        <v>0</v>
      </c>
      <c r="F338" s="96">
        <f t="shared" si="899"/>
        <v>0</v>
      </c>
      <c r="G338" s="96">
        <f t="shared" si="899"/>
        <v>0</v>
      </c>
      <c r="H338" s="96">
        <f t="shared" si="899"/>
        <v>0</v>
      </c>
      <c r="I338" s="96">
        <f t="shared" si="899"/>
        <v>0</v>
      </c>
      <c r="J338" s="96">
        <f t="shared" si="899"/>
        <v>0</v>
      </c>
      <c r="K338" s="96">
        <f t="shared" si="899"/>
        <v>0</v>
      </c>
      <c r="L338" s="96">
        <f t="shared" si="899"/>
        <v>0</v>
      </c>
      <c r="M338" s="96">
        <f t="shared" si="899"/>
        <v>0</v>
      </c>
      <c r="N338" s="96">
        <f t="shared" si="899"/>
        <v>0</v>
      </c>
      <c r="O338" s="96">
        <f t="shared" si="899"/>
        <v>0</v>
      </c>
      <c r="P338" s="96">
        <f t="shared" si="899"/>
        <v>0</v>
      </c>
      <c r="Q338" s="96">
        <f t="shared" si="899"/>
        <v>0</v>
      </c>
      <c r="R338" s="96">
        <f t="shared" si="899"/>
        <v>0</v>
      </c>
      <c r="S338" s="96">
        <f t="shared" si="899"/>
        <v>0</v>
      </c>
      <c r="T338" s="96">
        <f t="shared" si="899"/>
        <v>0</v>
      </c>
      <c r="U338" s="96">
        <f t="shared" si="899"/>
        <v>0</v>
      </c>
      <c r="V338" s="96">
        <f t="shared" si="899"/>
        <v>0</v>
      </c>
      <c r="W338" s="96">
        <f t="shared" si="899"/>
        <v>0</v>
      </c>
      <c r="X338" s="96">
        <f t="shared" si="899"/>
        <v>0</v>
      </c>
      <c r="Y338" s="96">
        <f t="shared" si="899"/>
        <v>0</v>
      </c>
      <c r="Z338" s="96">
        <f t="shared" si="899"/>
        <v>0</v>
      </c>
      <c r="AA338" s="96">
        <f t="shared" si="899"/>
        <v>0</v>
      </c>
    </row>
    <row r="339" spans="1:27">
      <c r="A339" s="98" t="s">
        <v>35</v>
      </c>
      <c r="B339" s="95"/>
      <c r="C339" s="95">
        <f>C337+C338</f>
        <v>320949.58700429375</v>
      </c>
      <c r="D339" s="95">
        <f t="shared" ref="D339:AA339" si="900">D337+D338</f>
        <v>335235.92883248266</v>
      </c>
      <c r="E339" s="95">
        <f t="shared" si="900"/>
        <v>350380.76348642266</v>
      </c>
      <c r="F339" s="95">
        <f t="shared" si="900"/>
        <v>366201.26804027724</v>
      </c>
      <c r="G339" s="95">
        <f t="shared" si="900"/>
        <v>160577.90643291947</v>
      </c>
      <c r="H339" s="95">
        <f t="shared" si="900"/>
        <v>180027.81793178714</v>
      </c>
      <c r="I339" s="95">
        <f t="shared" si="900"/>
        <v>200246.56960440162</v>
      </c>
      <c r="J339" s="95">
        <f t="shared" si="900"/>
        <v>221267.99041840775</v>
      </c>
      <c r="K339" s="95">
        <f t="shared" si="900"/>
        <v>243127.39781602679</v>
      </c>
      <c r="L339" s="95">
        <f t="shared" si="900"/>
        <v>265861.66320693761</v>
      </c>
      <c r="M339" s="95">
        <f t="shared" si="900"/>
        <v>289509.28034284525</v>
      </c>
      <c r="N339" s="95">
        <f t="shared" si="900"/>
        <v>314110.43670052942</v>
      </c>
      <c r="O339" s="95">
        <f t="shared" si="900"/>
        <v>339707.08800574823</v>
      </c>
      <c r="P339" s="95">
        <f t="shared" si="900"/>
        <v>366343.03603619325</v>
      </c>
      <c r="Q339" s="95">
        <f t="shared" si="900"/>
        <v>394064.0098477744</v>
      </c>
      <c r="R339" s="95">
        <f t="shared" si="900"/>
        <v>422917.75057486189</v>
      </c>
      <c r="S339" s="95">
        <f t="shared" si="900"/>
        <v>452954.09996173764</v>
      </c>
      <c r="T339" s="95">
        <f t="shared" si="900"/>
        <v>484225.09278943273</v>
      </c>
      <c r="U339" s="95">
        <f t="shared" si="900"/>
        <v>516785.05336934282</v>
      </c>
      <c r="V339" s="95">
        <f t="shared" si="900"/>
        <v>728375.44204527768</v>
      </c>
      <c r="W339" s="95">
        <f t="shared" si="900"/>
        <v>761709.70612803823</v>
      </c>
      <c r="X339" s="95">
        <f t="shared" si="900"/>
        <v>796510.67783044034</v>
      </c>
      <c r="Y339" s="95">
        <f t="shared" si="900"/>
        <v>832842.89228774805</v>
      </c>
      <c r="Z339" s="95">
        <f t="shared" si="900"/>
        <v>870773.72418117733</v>
      </c>
      <c r="AA339" s="95">
        <f t="shared" si="900"/>
        <v>910373.51267791749</v>
      </c>
    </row>
    <row r="340" spans="1:27">
      <c r="A340" s="97" t="s">
        <v>100</v>
      </c>
      <c r="B340" s="96"/>
      <c r="C340" s="96">
        <f>-C339*B304</f>
        <v>-64189.917400858751</v>
      </c>
      <c r="D340" s="96">
        <f>-D339*B304</f>
        <v>-67047.185766496536</v>
      </c>
      <c r="E340" s="96">
        <f>-E339*B304</f>
        <v>-70076.152697284531</v>
      </c>
      <c r="F340" s="96">
        <f>-F339*B304</f>
        <v>-73240.253608055456</v>
      </c>
      <c r="G340" s="96">
        <f>-G339*B304</f>
        <v>-32115.581286583896</v>
      </c>
      <c r="H340" s="96">
        <f>-H339*B304</f>
        <v>-36005.563586357428</v>
      </c>
      <c r="I340" s="96">
        <f>-I339*B304</f>
        <v>-40049.313920880326</v>
      </c>
      <c r="J340" s="96">
        <f>-J339*B304</f>
        <v>-44253.598083681551</v>
      </c>
      <c r="K340" s="96">
        <f>-K339*B304</f>
        <v>-48625.479563205357</v>
      </c>
      <c r="L340" s="96">
        <f>-L339*B304</f>
        <v>-53172.332641387526</v>
      </c>
      <c r="M340" s="96">
        <f>-M339*B304</f>
        <v>-57901.856068569054</v>
      </c>
      <c r="N340" s="96">
        <f>-N339*B304</f>
        <v>-62822.087340105885</v>
      </c>
      <c r="O340" s="96">
        <f>-O339*B304</f>
        <v>-67941.417601149646</v>
      </c>
      <c r="P340" s="96">
        <f>-P339*B304</f>
        <v>-73268.60720723866</v>
      </c>
      <c r="Q340" s="96">
        <f>-Q339*B304</f>
        <v>-78812.801969554886</v>
      </c>
      <c r="R340" s="96">
        <f>-R339*B304</f>
        <v>-84583.550114972386</v>
      </c>
      <c r="S340" s="96">
        <f>-S339*B304</f>
        <v>-90590.819992347533</v>
      </c>
      <c r="T340" s="96">
        <f>-T339*B304</f>
        <v>-96845.018557886549</v>
      </c>
      <c r="U340" s="96">
        <f>-U339*B304</f>
        <v>-103357.01067386857</v>
      </c>
      <c r="V340" s="96">
        <f>-V339*B304</f>
        <v>-145675.08840905555</v>
      </c>
      <c r="W340" s="96">
        <f>-W339*B304</f>
        <v>-152341.94122560765</v>
      </c>
      <c r="X340" s="96">
        <f>-X339*B304</f>
        <v>-159302.13556608808</v>
      </c>
      <c r="Y340" s="96">
        <f>-Y339*B304</f>
        <v>-166568.57845754962</v>
      </c>
      <c r="Z340" s="96">
        <f>-Z339*B304</f>
        <v>-174154.74483623548</v>
      </c>
      <c r="AA340" s="96">
        <f>-AA339*B304</f>
        <v>-182074.70253558352</v>
      </c>
    </row>
    <row r="341" spans="1:27" ht="16.5" thickBot="1">
      <c r="A341" s="99" t="s">
        <v>36</v>
      </c>
      <c r="B341" s="100"/>
      <c r="C341" s="100">
        <f t="shared" ref="C341:AA341" si="901">C339+C340</f>
        <v>256759.669603435</v>
      </c>
      <c r="D341" s="100">
        <f t="shared" si="901"/>
        <v>268188.74306598614</v>
      </c>
      <c r="E341" s="100">
        <f t="shared" si="901"/>
        <v>280304.61078913813</v>
      </c>
      <c r="F341" s="100">
        <f t="shared" si="901"/>
        <v>292961.01443222177</v>
      </c>
      <c r="G341" s="100">
        <f t="shared" si="901"/>
        <v>128462.32514633557</v>
      </c>
      <c r="H341" s="100">
        <f t="shared" si="901"/>
        <v>144022.25434542971</v>
      </c>
      <c r="I341" s="100">
        <f t="shared" si="901"/>
        <v>160197.2556835213</v>
      </c>
      <c r="J341" s="100">
        <f t="shared" si="901"/>
        <v>177014.3923347262</v>
      </c>
      <c r="K341" s="100">
        <f t="shared" si="901"/>
        <v>194501.91825282143</v>
      </c>
      <c r="L341" s="100">
        <f t="shared" si="901"/>
        <v>212689.33056555007</v>
      </c>
      <c r="M341" s="100">
        <f t="shared" si="901"/>
        <v>231607.42427427619</v>
      </c>
      <c r="N341" s="100">
        <f t="shared" si="901"/>
        <v>251288.34936042354</v>
      </c>
      <c r="O341" s="100">
        <f t="shared" si="901"/>
        <v>271765.67040459858</v>
      </c>
      <c r="P341" s="100">
        <f t="shared" si="901"/>
        <v>293074.42882895458</v>
      </c>
      <c r="Q341" s="100">
        <f t="shared" si="901"/>
        <v>315251.20787821955</v>
      </c>
      <c r="R341" s="100">
        <f t="shared" si="901"/>
        <v>338334.20045988949</v>
      </c>
      <c r="S341" s="100">
        <f t="shared" si="901"/>
        <v>362363.27996939013</v>
      </c>
      <c r="T341" s="100">
        <f t="shared" si="901"/>
        <v>387380.0742315462</v>
      </c>
      <c r="U341" s="100">
        <f t="shared" si="901"/>
        <v>413428.04269547423</v>
      </c>
      <c r="V341" s="100">
        <f t="shared" si="901"/>
        <v>582700.35363622219</v>
      </c>
      <c r="W341" s="100">
        <f t="shared" si="901"/>
        <v>609367.76490243059</v>
      </c>
      <c r="X341" s="100">
        <f t="shared" si="901"/>
        <v>637208.54226435232</v>
      </c>
      <c r="Y341" s="100">
        <f t="shared" si="901"/>
        <v>666274.31383019849</v>
      </c>
      <c r="Z341" s="100">
        <f t="shared" si="901"/>
        <v>696618.97934494191</v>
      </c>
      <c r="AA341" s="100">
        <f t="shared" si="901"/>
        <v>728298.81014233397</v>
      </c>
    </row>
    <row r="342" spans="1:27" s="487" customFormat="1" ht="16.5" thickBot="1">
      <c r="A342" s="485"/>
      <c r="B342" s="486"/>
      <c r="C342" s="486">
        <v>1</v>
      </c>
      <c r="D342" s="486">
        <f t="shared" ref="D342" si="902">+C342+1</f>
        <v>2</v>
      </c>
      <c r="E342" s="486">
        <f t="shared" ref="E342" si="903">+D342+1</f>
        <v>3</v>
      </c>
      <c r="F342" s="486">
        <f t="shared" ref="F342" si="904">+E342+1</f>
        <v>4</v>
      </c>
      <c r="G342" s="486">
        <f t="shared" ref="G342" si="905">+F342+1</f>
        <v>5</v>
      </c>
      <c r="H342" s="486">
        <f t="shared" ref="H342" si="906">+G342+1</f>
        <v>6</v>
      </c>
      <c r="I342" s="486">
        <f t="shared" ref="I342" si="907">+H342+1</f>
        <v>7</v>
      </c>
      <c r="J342" s="486">
        <f t="shared" ref="J342" si="908">+I342+1</f>
        <v>8</v>
      </c>
      <c r="K342" s="486">
        <f t="shared" ref="K342" si="909">+J342+1</f>
        <v>9</v>
      </c>
      <c r="L342" s="486">
        <f t="shared" ref="L342" si="910">+K342+1</f>
        <v>10</v>
      </c>
      <c r="M342" s="486">
        <f t="shared" ref="M342" si="911">+L342+1</f>
        <v>11</v>
      </c>
      <c r="N342" s="486">
        <f t="shared" ref="N342" si="912">+M342+1</f>
        <v>12</v>
      </c>
      <c r="O342" s="486">
        <f>+N342+1</f>
        <v>13</v>
      </c>
      <c r="P342" s="486">
        <f>+O342+1</f>
        <v>14</v>
      </c>
      <c r="Q342" s="486">
        <f>+P342+1</f>
        <v>15</v>
      </c>
      <c r="R342" s="486">
        <f t="shared" ref="R342" si="913">+Q342+1</f>
        <v>16</v>
      </c>
      <c r="S342" s="486">
        <f t="shared" ref="S342" si="914">+R342+1</f>
        <v>17</v>
      </c>
      <c r="T342" s="486">
        <f t="shared" ref="T342" si="915">+S342+1</f>
        <v>18</v>
      </c>
      <c r="U342" s="486">
        <f t="shared" ref="U342" si="916">+T342+1</f>
        <v>19</v>
      </c>
      <c r="V342" s="486">
        <f t="shared" ref="V342" si="917">+U342+1</f>
        <v>20</v>
      </c>
      <c r="W342" s="486">
        <f t="shared" ref="W342" si="918">+V342+1</f>
        <v>21</v>
      </c>
      <c r="X342" s="486">
        <f t="shared" ref="X342" si="919">+W342+1</f>
        <v>22</v>
      </c>
      <c r="Y342" s="486">
        <f t="shared" ref="Y342" si="920">+X342+1</f>
        <v>23</v>
      </c>
      <c r="Z342" s="486">
        <f t="shared" ref="Z342" si="921">+Y342+1</f>
        <v>24</v>
      </c>
      <c r="AA342" s="486">
        <f t="shared" ref="AA342" si="922">+Z342+1</f>
        <v>25</v>
      </c>
    </row>
    <row r="343" spans="1:27" ht="47.25">
      <c r="A343" s="88" t="s">
        <v>37</v>
      </c>
      <c r="B343" s="78" t="str">
        <f>B326</f>
        <v>год окончания 
строительства объекта 2016</v>
      </c>
      <c r="C343" s="79">
        <f>C326</f>
        <v>2017</v>
      </c>
      <c r="D343" s="80">
        <f t="shared" ref="D343" si="923">C343+1</f>
        <v>2018</v>
      </c>
      <c r="E343" s="80">
        <f t="shared" ref="E343" si="924">D343+1</f>
        <v>2019</v>
      </c>
      <c r="F343" s="80">
        <f t="shared" ref="F343" si="925">E343+1</f>
        <v>2020</v>
      </c>
      <c r="G343" s="80">
        <f t="shared" ref="G343" si="926">F343+1</f>
        <v>2021</v>
      </c>
      <c r="H343" s="80">
        <f t="shared" ref="H343" si="927">G343+1</f>
        <v>2022</v>
      </c>
      <c r="I343" s="80">
        <f t="shared" ref="I343" si="928">H343+1</f>
        <v>2023</v>
      </c>
      <c r="J343" s="80">
        <f t="shared" ref="J343" si="929">I343+1</f>
        <v>2024</v>
      </c>
      <c r="K343" s="80">
        <f t="shared" ref="K343" si="930">J343+1</f>
        <v>2025</v>
      </c>
      <c r="L343" s="80">
        <f t="shared" ref="L343" si="931">K343+1</f>
        <v>2026</v>
      </c>
      <c r="M343" s="80">
        <f t="shared" ref="M343" si="932">L343+1</f>
        <v>2027</v>
      </c>
      <c r="N343" s="80">
        <f t="shared" ref="N343" si="933">M343+1</f>
        <v>2028</v>
      </c>
      <c r="O343" s="80">
        <f t="shared" ref="O343" si="934">N343+1</f>
        <v>2029</v>
      </c>
      <c r="P343" s="80">
        <f t="shared" ref="P343" si="935">O343+1</f>
        <v>2030</v>
      </c>
      <c r="Q343" s="80">
        <f t="shared" ref="Q343" si="936">P343+1</f>
        <v>2031</v>
      </c>
      <c r="R343" s="80">
        <f t="shared" ref="R343" si="937">Q343+1</f>
        <v>2032</v>
      </c>
      <c r="S343" s="80">
        <f t="shared" ref="S343" si="938">R343+1</f>
        <v>2033</v>
      </c>
      <c r="T343" s="80">
        <f t="shared" ref="T343" si="939">S343+1</f>
        <v>2034</v>
      </c>
      <c r="U343" s="80">
        <f t="shared" ref="U343" si="940">T343+1</f>
        <v>2035</v>
      </c>
      <c r="V343" s="80">
        <f t="shared" ref="V343" si="941">U343+1</f>
        <v>2036</v>
      </c>
      <c r="W343" s="80">
        <f t="shared" ref="W343" si="942">V343+1</f>
        <v>2037</v>
      </c>
      <c r="X343" s="80">
        <f t="shared" ref="X343" si="943">W343+1</f>
        <v>2038</v>
      </c>
      <c r="Y343" s="80">
        <f t="shared" ref="Y343" si="944">X343+1</f>
        <v>2039</v>
      </c>
      <c r="Z343" s="80">
        <f t="shared" ref="Z343" si="945">Y343+1</f>
        <v>2040</v>
      </c>
      <c r="AA343" s="80">
        <f t="shared" ref="AA343" si="946">Z343+1</f>
        <v>2041</v>
      </c>
    </row>
    <row r="344" spans="1:27">
      <c r="A344" s="94" t="s">
        <v>34</v>
      </c>
      <c r="B344" s="95">
        <f t="shared" ref="B344" si="947">B337</f>
        <v>0</v>
      </c>
      <c r="C344" s="95">
        <f>C337</f>
        <v>320949.58700429375</v>
      </c>
      <c r="D344" s="95">
        <f t="shared" ref="D344:AA344" si="948">D337</f>
        <v>335235.92883248266</v>
      </c>
      <c r="E344" s="95">
        <f t="shared" si="948"/>
        <v>350380.76348642266</v>
      </c>
      <c r="F344" s="95">
        <f t="shared" si="948"/>
        <v>366201.26804027724</v>
      </c>
      <c r="G344" s="95">
        <f t="shared" si="948"/>
        <v>160577.90643291947</v>
      </c>
      <c r="H344" s="95">
        <f t="shared" si="948"/>
        <v>180027.81793178714</v>
      </c>
      <c r="I344" s="95">
        <f t="shared" si="948"/>
        <v>200246.56960440162</v>
      </c>
      <c r="J344" s="95">
        <f t="shared" si="948"/>
        <v>221267.99041840775</v>
      </c>
      <c r="K344" s="95">
        <f t="shared" si="948"/>
        <v>243127.39781602679</v>
      </c>
      <c r="L344" s="95">
        <f t="shared" si="948"/>
        <v>265861.66320693761</v>
      </c>
      <c r="M344" s="95">
        <f t="shared" si="948"/>
        <v>289509.28034284525</v>
      </c>
      <c r="N344" s="95">
        <f t="shared" si="948"/>
        <v>314110.43670052942</v>
      </c>
      <c r="O344" s="95">
        <f t="shared" si="948"/>
        <v>339707.08800574823</v>
      </c>
      <c r="P344" s="95">
        <f t="shared" si="948"/>
        <v>366343.03603619325</v>
      </c>
      <c r="Q344" s="95">
        <f t="shared" si="948"/>
        <v>394064.0098477744</v>
      </c>
      <c r="R344" s="95">
        <f t="shared" si="948"/>
        <v>422917.75057486189</v>
      </c>
      <c r="S344" s="95">
        <f t="shared" si="948"/>
        <v>452954.09996173764</v>
      </c>
      <c r="T344" s="95">
        <f t="shared" si="948"/>
        <v>484225.09278943273</v>
      </c>
      <c r="U344" s="95">
        <f t="shared" si="948"/>
        <v>516785.05336934282</v>
      </c>
      <c r="V344" s="95">
        <f t="shared" si="948"/>
        <v>728375.44204527768</v>
      </c>
      <c r="W344" s="95">
        <f t="shared" si="948"/>
        <v>761709.70612803823</v>
      </c>
      <c r="X344" s="95">
        <f t="shared" si="948"/>
        <v>796510.67783044034</v>
      </c>
      <c r="Y344" s="95">
        <f t="shared" si="948"/>
        <v>832842.89228774805</v>
      </c>
      <c r="Z344" s="95">
        <f t="shared" si="948"/>
        <v>870773.72418117733</v>
      </c>
      <c r="AA344" s="95">
        <f t="shared" si="948"/>
        <v>910373.51267791749</v>
      </c>
    </row>
    <row r="345" spans="1:27">
      <c r="A345" s="97" t="s">
        <v>278</v>
      </c>
      <c r="B345" s="96">
        <f t="shared" ref="B345" si="949">-B336</f>
        <v>0</v>
      </c>
      <c r="C345" s="96">
        <f>-C336</f>
        <v>9604.5197740112999</v>
      </c>
      <c r="D345" s="96">
        <f t="shared" ref="D345:AA345" si="950">-D336</f>
        <v>9604.5197740112999</v>
      </c>
      <c r="E345" s="96">
        <f t="shared" si="950"/>
        <v>9604.5197740112999</v>
      </c>
      <c r="F345" s="96">
        <f t="shared" si="950"/>
        <v>9604.5197740112999</v>
      </c>
      <c r="G345" s="96">
        <f t="shared" si="950"/>
        <v>179661.01694915254</v>
      </c>
      <c r="H345" s="96">
        <f t="shared" si="950"/>
        <v>179661.01694915254</v>
      </c>
      <c r="I345" s="96">
        <f t="shared" si="950"/>
        <v>179661.01694915254</v>
      </c>
      <c r="J345" s="96">
        <f t="shared" si="950"/>
        <v>179661.01694915254</v>
      </c>
      <c r="K345" s="96">
        <f t="shared" si="950"/>
        <v>179661.01694915254</v>
      </c>
      <c r="L345" s="96">
        <f t="shared" si="950"/>
        <v>179661.01694915254</v>
      </c>
      <c r="M345" s="96">
        <f t="shared" si="950"/>
        <v>179661.01694915254</v>
      </c>
      <c r="N345" s="96">
        <f t="shared" si="950"/>
        <v>179661.01694915254</v>
      </c>
      <c r="O345" s="96">
        <f t="shared" si="950"/>
        <v>179661.01694915254</v>
      </c>
      <c r="P345" s="96">
        <f t="shared" si="950"/>
        <v>179661.01694915254</v>
      </c>
      <c r="Q345" s="96">
        <f t="shared" si="950"/>
        <v>179661.01694915254</v>
      </c>
      <c r="R345" s="96">
        <f t="shared" si="950"/>
        <v>179661.01694915254</v>
      </c>
      <c r="S345" s="96">
        <f t="shared" si="950"/>
        <v>179661.01694915254</v>
      </c>
      <c r="T345" s="96">
        <f t="shared" si="950"/>
        <v>179661.01694915254</v>
      </c>
      <c r="U345" s="96">
        <f t="shared" si="950"/>
        <v>179661.01694915254</v>
      </c>
      <c r="V345" s="96">
        <f t="shared" si="950"/>
        <v>0</v>
      </c>
      <c r="W345" s="96">
        <f t="shared" si="950"/>
        <v>0</v>
      </c>
      <c r="X345" s="96">
        <f t="shared" si="950"/>
        <v>0</v>
      </c>
      <c r="Y345" s="96">
        <f t="shared" si="950"/>
        <v>0</v>
      </c>
      <c r="Z345" s="96">
        <f t="shared" si="950"/>
        <v>0</v>
      </c>
      <c r="AA345" s="96">
        <f t="shared" si="950"/>
        <v>0</v>
      </c>
    </row>
    <row r="346" spans="1:27">
      <c r="A346" s="97" t="s">
        <v>62</v>
      </c>
      <c r="B346" s="96">
        <f t="shared" ref="B346:AA346" si="951">B338</f>
        <v>0</v>
      </c>
      <c r="C346" s="96">
        <f t="shared" si="951"/>
        <v>0</v>
      </c>
      <c r="D346" s="96">
        <f t="shared" si="951"/>
        <v>0</v>
      </c>
      <c r="E346" s="96">
        <f t="shared" si="951"/>
        <v>0</v>
      </c>
      <c r="F346" s="96">
        <f t="shared" si="951"/>
        <v>0</v>
      </c>
      <c r="G346" s="96">
        <f t="shared" si="951"/>
        <v>0</v>
      </c>
      <c r="H346" s="96">
        <f t="shared" si="951"/>
        <v>0</v>
      </c>
      <c r="I346" s="96">
        <f t="shared" si="951"/>
        <v>0</v>
      </c>
      <c r="J346" s="96">
        <f t="shared" si="951"/>
        <v>0</v>
      </c>
      <c r="K346" s="96">
        <f t="shared" si="951"/>
        <v>0</v>
      </c>
      <c r="L346" s="96">
        <f t="shared" si="951"/>
        <v>0</v>
      </c>
      <c r="M346" s="96">
        <f t="shared" si="951"/>
        <v>0</v>
      </c>
      <c r="N346" s="96">
        <f t="shared" si="951"/>
        <v>0</v>
      </c>
      <c r="O346" s="96">
        <f t="shared" si="951"/>
        <v>0</v>
      </c>
      <c r="P346" s="96">
        <f t="shared" si="951"/>
        <v>0</v>
      </c>
      <c r="Q346" s="96">
        <f t="shared" si="951"/>
        <v>0</v>
      </c>
      <c r="R346" s="96">
        <f t="shared" si="951"/>
        <v>0</v>
      </c>
      <c r="S346" s="96">
        <f t="shared" si="951"/>
        <v>0</v>
      </c>
      <c r="T346" s="96">
        <f t="shared" si="951"/>
        <v>0</v>
      </c>
      <c r="U346" s="96">
        <f t="shared" si="951"/>
        <v>0</v>
      </c>
      <c r="V346" s="96">
        <f t="shared" si="951"/>
        <v>0</v>
      </c>
      <c r="W346" s="96">
        <f t="shared" si="951"/>
        <v>0</v>
      </c>
      <c r="X346" s="96">
        <f t="shared" si="951"/>
        <v>0</v>
      </c>
      <c r="Y346" s="96">
        <f t="shared" si="951"/>
        <v>0</v>
      </c>
      <c r="Z346" s="96">
        <f t="shared" si="951"/>
        <v>0</v>
      </c>
      <c r="AA346" s="96">
        <f t="shared" si="951"/>
        <v>0</v>
      </c>
    </row>
    <row r="347" spans="1:27">
      <c r="A347" s="97" t="s">
        <v>100</v>
      </c>
      <c r="B347" s="96">
        <f>IF(SUM(B340:B340)+SUM(A347:A347)&gt;0,0,SUM(B340:B340)-SUM(A347:A347))</f>
        <v>0</v>
      </c>
      <c r="C347" s="96">
        <f>IF(SUM(B340:C340)+SUM(A347:B347)&gt;0,0,SUM(B340:C340)-SUM(A347:B347))</f>
        <v>-64189.917400858751</v>
      </c>
      <c r="D347" s="96">
        <f>IF(SUM(B340:D340)+SUM(A347:C347)&gt;0,0,SUM(B340:D340)-SUM(A347:C347))</f>
        <v>-67047.18576649655</v>
      </c>
      <c r="E347" s="96">
        <f>IF(SUM(B340:E340)+SUM(A347:D347)&gt;0,0,SUM(B340:E340)-SUM(A347:D347))</f>
        <v>-70076.152697284531</v>
      </c>
      <c r="F347" s="96">
        <f>IF(SUM(B340:F340)+SUM(A347:E347)&gt;0,0,SUM(B340:F340)-SUM(A347:E347))</f>
        <v>-73240.253608055471</v>
      </c>
      <c r="G347" s="96">
        <f>IF(SUM(B340:G340)+SUM(A347:F347)&gt;0,0,SUM(B340:G340)-SUM(A347:F347))</f>
        <v>-32115.581286583911</v>
      </c>
      <c r="H347" s="96">
        <f>IF(SUM(B340:H340)+SUM(A347:G347)&gt;0,0,SUM(B340:H340)-SUM(A347:G347))</f>
        <v>-36005.563586357399</v>
      </c>
      <c r="I347" s="96">
        <f>IF(SUM(B340:I340)+SUM(A347:H347)&gt;0,0,SUM(B340:I340)-SUM(A347:H347))</f>
        <v>-40049.313920880319</v>
      </c>
      <c r="J347" s="96">
        <f>IF(SUM(B340:J340)+SUM(A347:I347)&gt;0,0,SUM(B340:J340)-SUM(A347:I347))</f>
        <v>-44253.598083681543</v>
      </c>
      <c r="K347" s="96">
        <f>IF(SUM(B340:K340)+SUM(A347:J347)&gt;0,0,SUM(B340:K340)-SUM(A347:J347))</f>
        <v>-48625.479563205387</v>
      </c>
      <c r="L347" s="96">
        <f>IF(SUM(B340:L340)+SUM(A347:K347)&gt;0,0,SUM(B340:L340)-SUM(A347:K347))</f>
        <v>-53172.332641387475</v>
      </c>
      <c r="M347" s="96">
        <f>IF(SUM(B340:M340)+SUM(A347:L347)&gt;0,0,SUM(B340:M340)-SUM(A347:L347))</f>
        <v>-57901.856068569003</v>
      </c>
      <c r="N347" s="96">
        <f>IF(SUM(B340:N340)+SUM(A347:M347)&gt;0,0,SUM(B340:N340)-SUM(A347:M347))</f>
        <v>-62822.087340105907</v>
      </c>
      <c r="O347" s="96">
        <f>IF(SUM(B340:O340)+SUM(A347:N347)&gt;0,0,SUM(B340:O340)-SUM(A347:N347))</f>
        <v>-67941.417601149646</v>
      </c>
      <c r="P347" s="96">
        <f>IF(SUM(B340:P340)+SUM(A347:O347)&gt;0,0,SUM(B340:P340)-SUM(A347:O347))</f>
        <v>-73268.607207238674</v>
      </c>
      <c r="Q347" s="96">
        <f>IF(SUM(B340:Q340)+SUM(A347:P347)&gt;0,0,SUM(B340:Q340)-SUM(A347:P347))</f>
        <v>-78812.801969554857</v>
      </c>
      <c r="R347" s="96">
        <f>IF(SUM(B340:R340)+SUM(A347:Q347)&gt;0,0,SUM(B340:R340)-SUM(A347:Q347))</f>
        <v>-84583.5501149724</v>
      </c>
      <c r="S347" s="96">
        <f>IF(SUM(B340:S340)+SUM(A347:R347)&gt;0,0,SUM(B340:S340)-SUM(A347:R347))</f>
        <v>-90590.819992347504</v>
      </c>
      <c r="T347" s="96">
        <f>IF(SUM(B340:T340)+SUM(A347:S347)&gt;0,0,SUM(B340:T340)-SUM(A347:S347))</f>
        <v>-96845.018557886593</v>
      </c>
      <c r="U347" s="96">
        <f>IF(SUM(B340:U340)+SUM(A347:T347)&gt;0,0,SUM(B340:U340)-SUM(A347:T347))</f>
        <v>-103357.01067386847</v>
      </c>
      <c r="V347" s="96">
        <f>IF(SUM(B340:V340)+SUM(A347:U347)&gt;0,0,SUM(B340:V340)-SUM(A347:U347))</f>
        <v>-145675.08840905549</v>
      </c>
      <c r="W347" s="96">
        <f>IF(SUM(B340:W340)+SUM(A347:V347)&gt;0,0,SUM(B340:W340)-SUM(A347:V347))</f>
        <v>-152341.94122560765</v>
      </c>
      <c r="X347" s="96">
        <f>IF(SUM(B340:X340)+SUM(A347:W347)&gt;0,0,SUM(B340:X340)-SUM(A347:W347))</f>
        <v>-159302.13556608814</v>
      </c>
      <c r="Y347" s="96">
        <f>IF(SUM(B340:Y340)+SUM(A347:X347)&gt;0,0,SUM(B340:Y340)-SUM(A347:X347))</f>
        <v>-166568.57845754968</v>
      </c>
      <c r="Z347" s="96">
        <f>IF(SUM(B340:Z340)+SUM(A347:Y347)&gt;0,0,SUM(B340:Z340)-SUM(A347:Y347))</f>
        <v>-174154.74483623542</v>
      </c>
      <c r="AA347" s="96">
        <f>IF(SUM(B340:AA340)+SUM(A347:Z347)&gt;0,0,SUM(B340:AA340)-SUM(A347:Z347))</f>
        <v>-182074.70253558364</v>
      </c>
    </row>
    <row r="348" spans="1:27">
      <c r="A348" s="97" t="s">
        <v>38</v>
      </c>
      <c r="B348" s="101">
        <f>IF(((SUM(B327:B327)+SUM(B329:B333))+SUM(B350:B350))&lt;0,((SUM(B327:B327)+SUM(B329:B333))+SUM(B350:B350))*0.18-SUM(A348:A348),IF(SUM(A348:B348)&lt;0,0-SUM(A348:B348),0))</f>
        <v>-485084.74576271186</v>
      </c>
      <c r="C348" s="101">
        <f>IF(((SUM(B327:C327)+SUM(B329:C333))+SUM(B350:C350))&lt;0,((SUM(B327:C327)+SUM(B329:C333))+SUM(B350:C350))*0.18-SUM(A348:B348),IF(SUM(B348:B348)&lt;0,0-SUM(B348:B348),0))</f>
        <v>60172.939220094937</v>
      </c>
      <c r="D348" s="101">
        <f>IF(((SUM(B327:D327)+SUM(B329:D333))+SUM(B350:D350))&lt;0,((SUM(B327:D327)+SUM(B329:D333))+SUM(B350:D350))*0.18-SUM(A348:C348),IF(SUM(B348:C348)&lt;0,0-SUM(B348:C348),0))</f>
        <v>62820.548545779078</v>
      </c>
      <c r="E348" s="101">
        <f>IF(((SUM(B327:E327)+SUM(B329:E333))+SUM(B350:E350))&lt;0,((SUM(B327:E327)+SUM(B329:E333))+SUM(B350:E350))*0.18-SUM(A348:D348),IF(SUM(B348:D348)&lt;0,0-SUM(B348:D348),0))</f>
        <v>65584.652681793319</v>
      </c>
      <c r="F348" s="101">
        <f>IF(((SUM(B327:F327)+SUM(B329:F333))+SUM(B350:F350))&lt;0,((SUM(B327:F327)+SUM(B329:F333))+SUM(B350:F350))*0.18-SUM(A348:E348),IF(SUM(B348:E348)&lt;0,0-SUM(B348:E348),0))</f>
        <v>68470.377399792313</v>
      </c>
      <c r="G348" s="101">
        <f>IF(((SUM(B327:G327)+SUM(B329:G333))+SUM(B350:G350))&lt;0,((SUM(B327:G327)+SUM(B329:G333))+SUM(B350:G350))*0.18-SUM(A348:F348),IF(SUM(B348:F348)&lt;0,0-SUM(B348:F348),0))</f>
        <v>71483.074005383096</v>
      </c>
      <c r="H348" s="101">
        <f>IF(((SUM(B327:H327)+SUM(B329:H333))+SUM(B350:H350))&lt;0,((SUM(B327:H327)+SUM(B329:H333))+SUM(B350:H350))*0.18-SUM(A348:G348),IF(SUM(B348:G348)&lt;0,0-SUM(B348:G348),0))</f>
        <v>74628.329261619991</v>
      </c>
      <c r="I348" s="101">
        <f>IF(((SUM(B327:I327)+SUM(B329:I333))+SUM(B350:I350))&lt;0,((SUM(B327:I327)+SUM(B329:I333))+SUM(B350:I350))*0.18-SUM(A348:H348),IF(SUM(B348:H348)&lt;0,0-SUM(B348:H348),0))</f>
        <v>77911.975749131234</v>
      </c>
      <c r="J348" s="101">
        <f>IF(((SUM(B327:J327)+SUM(B329:J333))+SUM(B350:J350))&lt;0,((SUM(B327:J327)+SUM(B329:J333))+SUM(B350:J350))*0.18-SUM(A348:I348),IF(SUM(B348:I348)&lt;0,0-SUM(B348:I348),0))</f>
        <v>4012.8488991178892</v>
      </c>
      <c r="K348" s="101">
        <f>IF(((SUM(B327:K327)+SUM(B329:K333))+SUM(B350:K350))&lt;0,((SUM(B327:K327)+SUM(B329:K333))+SUM(B350:K350))*0.18-SUM(A348:J348),IF(SUM(B348:J348)&lt;0,0-SUM(B348:J348),0))</f>
        <v>0</v>
      </c>
      <c r="L348" s="101">
        <f>IF(((SUM(B327:L327)+SUM(B329:L333))+SUM(B350:L350))&lt;0,((SUM(B327:L327)+SUM(B329:L333))+SUM(B350:L350))*0.18-SUM(A348:K348),IF(SUM(B348:K348)&lt;0,0-SUM(B348:K348),0))</f>
        <v>0</v>
      </c>
      <c r="M348" s="101">
        <f>IF(((SUM(B327:M327)+SUM(B329:M333))+SUM(B350:M350))&lt;0,((SUM(B327:M327)+SUM(B329:M333))+SUM(B350:M350))*0.18-SUM(A348:L348),IF(SUM(B348:L348)&lt;0,0-SUM(B348:L348),0))</f>
        <v>0</v>
      </c>
      <c r="N348" s="101">
        <f>IF(((SUM(B327:N327)+SUM(B329:N333))+SUM(B350:N350))&lt;0,((SUM(B327:N327)+SUM(B329:N333))+SUM(B350:N350))*0.18-SUM(A348:M348),IF(SUM(B348:M348)&lt;0,0-SUM(B348:M348),0))</f>
        <v>0</v>
      </c>
      <c r="O348" s="101">
        <f>IF(((SUM(B327:O327)+SUM(B329:O333))+SUM(B350:O350))&lt;0,((SUM(B327:O327)+SUM(B329:O333))+SUM(B350:O350))*0.18-SUM(A348:N348),IF(SUM(B348:N348)&lt;0,0-SUM(B348:N348),0))</f>
        <v>0</v>
      </c>
      <c r="P348" s="101">
        <f>IF(((SUM(B327:P327)+SUM(B329:P333))+SUM(B350:P350))&lt;0,((SUM(B327:P327)+SUM(B329:P333))+SUM(B350:P350))*0.18-SUM(A348:O348),IF(SUM(B348:O348)&lt;0,0-SUM(B348:O348),0))</f>
        <v>0</v>
      </c>
      <c r="Q348" s="101">
        <f>IF(((SUM(B327:Q327)+SUM(B329:Q333))+SUM(B350:Q350))&lt;0,((SUM(B327:Q327)+SUM(B329:Q333))+SUM(B350:Q350))*0.18-SUM(A348:P348),IF(SUM(B348:P348)&lt;0,0-SUM(B348:P348),0))</f>
        <v>0</v>
      </c>
      <c r="R348" s="101">
        <f>IF(((SUM(B327:R327)+SUM(B329:R333))+SUM(B350:R350))&lt;0,((SUM(B327:R327)+SUM(B329:R333))+SUM(B350:R350))*0.18-SUM(A348:Q348),IF(SUM(B348:Q348)&lt;0,0-SUM(B348:Q348),0))</f>
        <v>0</v>
      </c>
      <c r="S348" s="101">
        <f>IF(((SUM(B327:S327)+SUM(B329:S333))+SUM(B350:S350))&lt;0,((SUM(B327:S327)+SUM(B329:S333))+SUM(B350:S350))*0.18-SUM(A348:R348),IF(SUM(B348:R348)&lt;0,0-SUM(B348:R348),0))</f>
        <v>0</v>
      </c>
      <c r="T348" s="101">
        <f>IF(((SUM(B327:T327)+SUM(B329:T333))+SUM(B350:T350))&lt;0,((SUM(B327:T327)+SUM(B329:T333))+SUM(B350:T350))*0.18-SUM(A348:S348),IF(SUM(B348:S348)&lt;0,0-SUM(B348:S348),0))</f>
        <v>0</v>
      </c>
      <c r="U348" s="101">
        <f>IF(((SUM(B327:U327)+SUM(B329:U333))+SUM(B350:U350))&lt;0,((SUM(B327:U327)+SUM(B329:U333))+SUM(B350:U350))*0.18-SUM(A348:T348),IF(SUM(B348:T348)&lt;0,0-SUM(B348:T348),0))</f>
        <v>0</v>
      </c>
      <c r="V348" s="101">
        <f>IF(((SUM(B327:V327)+SUM(B329:V333))+SUM(B350:V350))&lt;0,((SUM(B327:V327)+SUM(B329:V333))+SUM(B350:V350))*0.18-SUM(A348:U348),IF(SUM(B348:U348)&lt;0,0-SUM(B348:U348),0))</f>
        <v>0</v>
      </c>
      <c r="W348" s="101">
        <f>IF(((SUM(B327:W327)+SUM(B329:W333))+SUM(B350:W350))&lt;0,((SUM(B327:W327)+SUM(B329:W333))+SUM(B350:W350))*0.18-SUM(A348:V348),IF(SUM(B348:V348)&lt;0,0-SUM(B348:V348),0))</f>
        <v>0</v>
      </c>
      <c r="X348" s="101">
        <f>IF(((SUM(B327:X327)+SUM(B329:X333))+SUM(B350:X350))&lt;0,((SUM(B327:X327)+SUM(B329:X333))+SUM(B350:X350))*0.18-SUM(A348:W348),IF(SUM(B348:W348)&lt;0,0-SUM(B348:W348),0))</f>
        <v>0</v>
      </c>
      <c r="Y348" s="101">
        <f>IF(((SUM(B327:Y327)+SUM(B329:Y333))+SUM(B350:Y350))&lt;0,((SUM(B327:Y327)+SUM(B329:Y333))+SUM(B350:Y350))*0.18-SUM(A348:X348),IF(SUM(B348:X348)&lt;0,0-SUM(B348:X348),0))</f>
        <v>0</v>
      </c>
      <c r="Z348" s="101">
        <f>IF(((SUM(B327:Z327)+SUM(B329:Z333))+SUM(B350:Z350))&lt;0,((SUM(B327:Z327)+SUM(B329:Z333))+SUM(B350:Z350))*0.18-SUM(A348:Y348),IF(SUM(B348:Y348)&lt;0,0-SUM(B348:Y348),0))</f>
        <v>0</v>
      </c>
      <c r="AA348" s="101">
        <f>IF(((SUM(B327:AA327)+SUM(B329:AA333))+SUM(B350:AA350))&lt;0,((SUM(B327:AA327)+SUM(B329:AA333))+SUM(B350:AA350))*0.18-SUM(A348:Z348),IF(SUM(B348:Z348)&lt;0,0-SUM(B348:Z348),0))</f>
        <v>0</v>
      </c>
    </row>
    <row r="349" spans="1:27">
      <c r="A349" s="97" t="s">
        <v>39</v>
      </c>
      <c r="B349" s="96">
        <f>-B327*(B307)</f>
        <v>0</v>
      </c>
      <c r="C349" s="96">
        <f>-(C327-B327)*B307</f>
        <v>-34764.406779661011</v>
      </c>
      <c r="D349" s="96">
        <f>-(D327-C327)*B307</f>
        <v>-1529.6338983050839</v>
      </c>
      <c r="E349" s="96">
        <f>-(E327-D327)*B307</f>
        <v>-1596.9377898305074</v>
      </c>
      <c r="F349" s="96">
        <f>-(F327-E327)*B307</f>
        <v>-1667.2030525830517</v>
      </c>
      <c r="G349" s="96">
        <f>-(G327-F327)*B307</f>
        <v>-1740.5599868967083</v>
      </c>
      <c r="H349" s="96">
        <f>-(H327-G327)*B307</f>
        <v>-1817.1446263201594</v>
      </c>
      <c r="I349" s="96">
        <f>-(I327-H327)*B307</f>
        <v>-1897.0989898782516</v>
      </c>
      <c r="J349" s="96">
        <f>-(J327-I327)*B307</f>
        <v>-1980.5713454328943</v>
      </c>
      <c r="K349" s="96">
        <f>-(K327-J327)*B307</f>
        <v>-2067.7164846319415</v>
      </c>
      <c r="L349" s="96">
        <f>-(L327-K327)*B307</f>
        <v>-2158.6960099557473</v>
      </c>
      <c r="M349" s="96">
        <f>-(M327-L327)*B307</f>
        <v>-2253.6786343938033</v>
      </c>
      <c r="N349" s="96">
        <f>-(N327-M327)*B307</f>
        <v>-2352.8404943071305</v>
      </c>
      <c r="O349" s="96">
        <f>-(O327-N327)*B307</f>
        <v>-2456.3654760566424</v>
      </c>
      <c r="P349" s="96">
        <f>-(P327-O327)*B307</f>
        <v>-2564.4455570031309</v>
      </c>
      <c r="Q349" s="96">
        <f>-(Q327-P327)*B307</f>
        <v>-2677.2811615112705</v>
      </c>
      <c r="R349" s="96">
        <f>-(R327-Q327)*B307</f>
        <v>-2795.0815326177635</v>
      </c>
      <c r="S349" s="96">
        <f>-(S327-R327)*B307</f>
        <v>-2918.0651200529423</v>
      </c>
      <c r="T349" s="96">
        <f>-(T327-S327)*B307</f>
        <v>-3046.4599853352761</v>
      </c>
      <c r="U349" s="96">
        <f>-(U327-T327)*B307</f>
        <v>-3180.5042246900266</v>
      </c>
      <c r="V349" s="96">
        <f>-(V327-U327)*B307</f>
        <v>-3320.4464105763941</v>
      </c>
      <c r="W349" s="96">
        <f>-(W327-V327)*B307</f>
        <v>-3466.5460526417478</v>
      </c>
      <c r="X349" s="96">
        <f>-(X327-W327)*B307</f>
        <v>-3619.0740789579927</v>
      </c>
      <c r="Y349" s="96">
        <f>-(Y327-X327)*B307</f>
        <v>-3778.3133384321354</v>
      </c>
      <c r="Z349" s="96">
        <f>-(Z327-Y327)*B307</f>
        <v>-3944.5591253231514</v>
      </c>
      <c r="AA349" s="96">
        <f>-(AA327-Z327)*B307</f>
        <v>-4118.119726837368</v>
      </c>
    </row>
    <row r="350" spans="1:27">
      <c r="A350" s="97" t="s">
        <v>40</v>
      </c>
      <c r="B350" s="96">
        <f>-(B293+B294)*B296</f>
        <v>-2694915.2542372881</v>
      </c>
      <c r="C350" s="96"/>
      <c r="D350" s="96"/>
      <c r="E350" s="96"/>
      <c r="F350" s="96"/>
      <c r="G350" s="96"/>
      <c r="H350" s="96"/>
      <c r="I350" s="96"/>
      <c r="J350" s="96"/>
      <c r="K350" s="96"/>
      <c r="L350" s="96"/>
      <c r="M350" s="96"/>
      <c r="N350" s="96"/>
      <c r="O350" s="96"/>
      <c r="P350" s="96"/>
      <c r="Q350" s="96"/>
      <c r="R350" s="96"/>
      <c r="S350" s="96"/>
      <c r="T350" s="96"/>
      <c r="U350" s="96"/>
      <c r="V350" s="96"/>
      <c r="W350" s="96"/>
      <c r="X350" s="96"/>
      <c r="Y350" s="96"/>
      <c r="Z350" s="96"/>
      <c r="AA350" s="96"/>
    </row>
    <row r="351" spans="1:27">
      <c r="A351" s="97" t="s">
        <v>41</v>
      </c>
      <c r="B351" s="96">
        <f t="shared" ref="B351:AA351" si="952">B322-B323</f>
        <v>0</v>
      </c>
      <c r="C351" s="96">
        <f t="shared" si="952"/>
        <v>0</v>
      </c>
      <c r="D351" s="96">
        <f t="shared" si="952"/>
        <v>0</v>
      </c>
      <c r="E351" s="96">
        <f t="shared" si="952"/>
        <v>0</v>
      </c>
      <c r="F351" s="96">
        <f t="shared" si="952"/>
        <v>0</v>
      </c>
      <c r="G351" s="96">
        <f t="shared" si="952"/>
        <v>0</v>
      </c>
      <c r="H351" s="96">
        <f t="shared" si="952"/>
        <v>0</v>
      </c>
      <c r="I351" s="96">
        <f t="shared" si="952"/>
        <v>0</v>
      </c>
      <c r="J351" s="96">
        <f t="shared" si="952"/>
        <v>0</v>
      </c>
      <c r="K351" s="96">
        <f t="shared" si="952"/>
        <v>0</v>
      </c>
      <c r="L351" s="96">
        <f t="shared" si="952"/>
        <v>0</v>
      </c>
      <c r="M351" s="96">
        <f t="shared" si="952"/>
        <v>0</v>
      </c>
      <c r="N351" s="96">
        <f t="shared" si="952"/>
        <v>0</v>
      </c>
      <c r="O351" s="96">
        <f t="shared" si="952"/>
        <v>0</v>
      </c>
      <c r="P351" s="96">
        <f t="shared" si="952"/>
        <v>0</v>
      </c>
      <c r="Q351" s="96">
        <f t="shared" si="952"/>
        <v>0</v>
      </c>
      <c r="R351" s="96">
        <f t="shared" si="952"/>
        <v>0</v>
      </c>
      <c r="S351" s="96">
        <f t="shared" si="952"/>
        <v>0</v>
      </c>
      <c r="T351" s="96">
        <f t="shared" si="952"/>
        <v>0</v>
      </c>
      <c r="U351" s="96">
        <f t="shared" si="952"/>
        <v>0</v>
      </c>
      <c r="V351" s="96">
        <f t="shared" si="952"/>
        <v>0</v>
      </c>
      <c r="W351" s="96">
        <f t="shared" si="952"/>
        <v>0</v>
      </c>
      <c r="X351" s="96">
        <f t="shared" si="952"/>
        <v>0</v>
      </c>
      <c r="Y351" s="96">
        <f t="shared" si="952"/>
        <v>0</v>
      </c>
      <c r="Z351" s="96">
        <f t="shared" si="952"/>
        <v>0</v>
      </c>
      <c r="AA351" s="96">
        <f t="shared" si="952"/>
        <v>0</v>
      </c>
    </row>
    <row r="352" spans="1:27">
      <c r="A352" s="102" t="s">
        <v>42</v>
      </c>
      <c r="B352" s="95">
        <f t="shared" ref="B352:AA352" si="953">SUM(B344:B351)</f>
        <v>-3180000</v>
      </c>
      <c r="C352" s="95">
        <f t="shared" si="953"/>
        <v>291772.72181788017</v>
      </c>
      <c r="D352" s="95">
        <f t="shared" si="953"/>
        <v>339084.17748747143</v>
      </c>
      <c r="E352" s="95">
        <f t="shared" si="953"/>
        <v>353896.84545511223</v>
      </c>
      <c r="F352" s="95">
        <f t="shared" si="953"/>
        <v>369368.70855344232</v>
      </c>
      <c r="G352" s="95">
        <f t="shared" si="953"/>
        <v>377865.85611397447</v>
      </c>
      <c r="H352" s="95">
        <f t="shared" si="953"/>
        <v>396494.45592988213</v>
      </c>
      <c r="I352" s="95">
        <f t="shared" si="953"/>
        <v>415873.14939192683</v>
      </c>
      <c r="J352" s="95">
        <f t="shared" si="953"/>
        <v>358707.68683756376</v>
      </c>
      <c r="K352" s="95">
        <f t="shared" si="953"/>
        <v>372095.21871734201</v>
      </c>
      <c r="L352" s="95">
        <f t="shared" si="953"/>
        <v>390191.65150474699</v>
      </c>
      <c r="M352" s="95">
        <f t="shared" si="953"/>
        <v>409014.76258903503</v>
      </c>
      <c r="N352" s="95">
        <f t="shared" si="953"/>
        <v>428596.52581526898</v>
      </c>
      <c r="O352" s="95">
        <f t="shared" si="953"/>
        <v>448970.32187769451</v>
      </c>
      <c r="P352" s="95">
        <f t="shared" si="953"/>
        <v>470171.00022110401</v>
      </c>
      <c r="Q352" s="95">
        <f t="shared" si="953"/>
        <v>492234.94366586086</v>
      </c>
      <c r="R352" s="95">
        <f t="shared" si="953"/>
        <v>515200.13587642432</v>
      </c>
      <c r="S352" s="95">
        <f t="shared" si="953"/>
        <v>539106.23179848981</v>
      </c>
      <c r="T352" s="95">
        <f t="shared" si="953"/>
        <v>563994.63119536347</v>
      </c>
      <c r="U352" s="95">
        <f t="shared" si="953"/>
        <v>589908.55541993689</v>
      </c>
      <c r="V352" s="95">
        <f t="shared" si="953"/>
        <v>579379.90722564585</v>
      </c>
      <c r="W352" s="95">
        <f t="shared" si="953"/>
        <v>605901.21884978889</v>
      </c>
      <c r="X352" s="95">
        <f t="shared" si="953"/>
        <v>633589.46818539419</v>
      </c>
      <c r="Y352" s="95">
        <f t="shared" si="953"/>
        <v>662496.00049176626</v>
      </c>
      <c r="Z352" s="95">
        <f t="shared" si="953"/>
        <v>692674.42021961871</v>
      </c>
      <c r="AA352" s="95">
        <f t="shared" si="953"/>
        <v>724180.69041549647</v>
      </c>
    </row>
    <row r="353" spans="1:27">
      <c r="A353" s="102" t="s">
        <v>43</v>
      </c>
      <c r="B353" s="95">
        <f>SUM(B352:B352)</f>
        <v>-3180000</v>
      </c>
      <c r="C353" s="95">
        <f>SUM(B352:C352)</f>
        <v>-2888227.2781821201</v>
      </c>
      <c r="D353" s="95">
        <f>SUM(B352:D352)</f>
        <v>-2549143.1006946485</v>
      </c>
      <c r="E353" s="95">
        <f>SUM(B352:E352)</f>
        <v>-2195246.2552395361</v>
      </c>
      <c r="F353" s="95">
        <f>SUM(B352:F352)</f>
        <v>-1825877.5466860938</v>
      </c>
      <c r="G353" s="95">
        <f>SUM(B352:G352)</f>
        <v>-1448011.6905721193</v>
      </c>
      <c r="H353" s="95">
        <f>SUM(B352:H352)</f>
        <v>-1051517.2346422372</v>
      </c>
      <c r="I353" s="95">
        <f>SUM(B352:I352)</f>
        <v>-635644.08525031037</v>
      </c>
      <c r="J353" s="95">
        <f>SUM(B352:J352)</f>
        <v>-276936.39841274661</v>
      </c>
      <c r="K353" s="95">
        <f>SUM(B352:K352)</f>
        <v>95158.8203045954</v>
      </c>
      <c r="L353" s="95">
        <f>SUM(B352:L352)</f>
        <v>485350.47180934239</v>
      </c>
      <c r="M353" s="95">
        <f>SUM(B352:M352)</f>
        <v>894365.23439837736</v>
      </c>
      <c r="N353" s="95">
        <f>SUM(B352:N352)</f>
        <v>1322961.7602136463</v>
      </c>
      <c r="O353" s="95">
        <f>SUM(B352:O352)</f>
        <v>1771932.0820913408</v>
      </c>
      <c r="P353" s="95">
        <f>SUM(B352:P352)</f>
        <v>2242103.0823124447</v>
      </c>
      <c r="Q353" s="95">
        <f>SUM(B352:Q352)</f>
        <v>2734338.0259783054</v>
      </c>
      <c r="R353" s="95">
        <f>SUM(B352:R352)</f>
        <v>3249538.1618547295</v>
      </c>
      <c r="S353" s="95">
        <f>SUM(B352:S352)</f>
        <v>3788644.3936532196</v>
      </c>
      <c r="T353" s="95">
        <f>SUM(B352:T352)</f>
        <v>4352639.0248485832</v>
      </c>
      <c r="U353" s="95">
        <f>SUM(B352:U352)</f>
        <v>4942547.5802685199</v>
      </c>
      <c r="V353" s="95">
        <f>SUM(B352:V352)</f>
        <v>5521927.487494166</v>
      </c>
      <c r="W353" s="95">
        <f>SUM(B352:W352)</f>
        <v>6127828.7063439544</v>
      </c>
      <c r="X353" s="95">
        <f>SUM(B352:X352)</f>
        <v>6761418.1745293485</v>
      </c>
      <c r="Y353" s="95">
        <f>SUM(B352:Y352)</f>
        <v>7423914.1750211148</v>
      </c>
      <c r="Z353" s="95">
        <f>SUM(B352:Z352)</f>
        <v>8116588.5952407336</v>
      </c>
      <c r="AA353" s="95">
        <f>SUM(B352:AA352)</f>
        <v>8840769.2856562305</v>
      </c>
    </row>
    <row r="354" spans="1:27">
      <c r="A354" s="103" t="s">
        <v>44</v>
      </c>
      <c r="B354" s="104">
        <f>1/POWER((1+B312),B342)</f>
        <v>1</v>
      </c>
      <c r="C354" s="104">
        <f>1/POWER((1+B312),C342)</f>
        <v>0.92250922509225086</v>
      </c>
      <c r="D354" s="104">
        <f>1/POWER((1+B312),D342)</f>
        <v>0.85102327038030523</v>
      </c>
      <c r="E354" s="104">
        <f>1/POWER((1+B312),E342)</f>
        <v>0.78507681769400839</v>
      </c>
      <c r="F354" s="104">
        <f>1/POWER((1+B312),F342)</f>
        <v>0.72424060672879009</v>
      </c>
      <c r="G354" s="104">
        <f>1/POWER((1+B312),G342)</f>
        <v>0.66811864089371786</v>
      </c>
      <c r="H354" s="104">
        <f>1/POWER((1+B312),H342)</f>
        <v>0.61634560968055141</v>
      </c>
      <c r="I354" s="104">
        <f>1/POWER((1+B312),I342)</f>
        <v>0.56858451077541639</v>
      </c>
      <c r="J354" s="104">
        <f>1/POWER((1+B312),J342)</f>
        <v>0.5245244564348861</v>
      </c>
      <c r="K354" s="104">
        <f>1/POWER((1+B312),K342)</f>
        <v>0.48387864984768086</v>
      </c>
      <c r="L354" s="104">
        <f>1/POWER((1+B312),L342)</f>
        <v>0.44638251830966863</v>
      </c>
      <c r="M354" s="104">
        <f>1/POWER((1+B312),M342)</f>
        <v>0.41179199106057984</v>
      </c>
      <c r="N354" s="104">
        <f>1/POWER((1+B312),N342)</f>
        <v>0.37988191057249071</v>
      </c>
      <c r="O354" s="104">
        <f>1/POWER((1+B312),O342)</f>
        <v>0.35044456694879217</v>
      </c>
      <c r="P354" s="104">
        <f>1/POWER((1+B312),P342)</f>
        <v>0.32328834589371969</v>
      </c>
      <c r="Q354" s="104">
        <f>1/POWER((1+B312),Q342)</f>
        <v>0.2982364814517709</v>
      </c>
      <c r="R354" s="104">
        <f>1/POWER((1+B312),R342)</f>
        <v>0.27512590539831266</v>
      </c>
      <c r="S354" s="104">
        <f>1/POWER((1+B312),S342)</f>
        <v>0.25380618579180131</v>
      </c>
      <c r="T354" s="104">
        <f>1/POWER((1+B312),T342)</f>
        <v>0.2341385477784145</v>
      </c>
      <c r="U354" s="104">
        <f>1/POWER((1+B312),U342)</f>
        <v>0.21599497027529013</v>
      </c>
      <c r="V354" s="104">
        <f>1/POWER((1+B312),V342)</f>
        <v>0.19925735265248168</v>
      </c>
      <c r="W354" s="104">
        <f>1/POWER((1+B312),W342)</f>
        <v>0.18381674598937425</v>
      </c>
      <c r="X354" s="104">
        <f>1/POWER((1+B312),X342)</f>
        <v>0.16957264390163673</v>
      </c>
      <c r="Y354" s="104">
        <f>1/POWER((1+B312),Y342)</f>
        <v>0.15643232832254311</v>
      </c>
      <c r="Z354" s="104">
        <f>1/POWER((1+B312),Z342)</f>
        <v>0.14431026598020583</v>
      </c>
      <c r="AA354" s="104">
        <f>1/POWER((1+B312),AA342)</f>
        <v>0.13312755164225631</v>
      </c>
    </row>
    <row r="355" spans="1:27">
      <c r="A355" s="105" t="s">
        <v>45</v>
      </c>
      <c r="B355" s="106">
        <f t="shared" ref="B355:AA355" si="954">B352*B354</f>
        <v>-3180000</v>
      </c>
      <c r="C355" s="106">
        <f t="shared" si="954"/>
        <v>269163.02750726952</v>
      </c>
      <c r="D355" s="106">
        <f t="shared" si="954"/>
        <v>288568.52565960382</v>
      </c>
      <c r="E355" s="106">
        <f t="shared" si="954"/>
        <v>277836.20922184782</v>
      </c>
      <c r="F355" s="106">
        <f t="shared" si="954"/>
        <v>267511.81758937472</v>
      </c>
      <c r="G355" s="106">
        <f t="shared" si="954"/>
        <v>252459.22222700977</v>
      </c>
      <c r="H355" s="106">
        <f t="shared" si="954"/>
        <v>244377.61717506172</v>
      </c>
      <c r="I355" s="106">
        <f t="shared" si="954"/>
        <v>236459.03119164036</v>
      </c>
      <c r="J355" s="106">
        <f t="shared" si="954"/>
        <v>188150.95445748846</v>
      </c>
      <c r="K355" s="106">
        <f t="shared" si="954"/>
        <v>180048.93204772496</v>
      </c>
      <c r="L355" s="106">
        <f t="shared" si="954"/>
        <v>174174.73202209757</v>
      </c>
      <c r="M355" s="106">
        <f t="shared" si="954"/>
        <v>168429.00345970911</v>
      </c>
      <c r="N355" s="106">
        <f t="shared" si="954"/>
        <v>162816.06709143621</v>
      </c>
      <c r="O355" s="106">
        <f t="shared" si="954"/>
        <v>157339.2100232885</v>
      </c>
      <c r="P355" s="106">
        <f t="shared" si="954"/>
        <v>152000.80494867644</v>
      </c>
      <c r="Q355" s="106">
        <f t="shared" si="954"/>
        <v>146802.41764651702</v>
      </c>
      <c r="R355" s="106">
        <f t="shared" si="954"/>
        <v>141744.90384433494</v>
      </c>
      <c r="S355" s="106">
        <f t="shared" si="954"/>
        <v>136828.49642936542</v>
      </c>
      <c r="T355" s="106">
        <f t="shared" si="954"/>
        <v>132052.88390290487</v>
      </c>
      <c r="U355" s="106">
        <f t="shared" si="954"/>
        <v>127417.28089306862</v>
      </c>
      <c r="V355" s="106">
        <f t="shared" si="954"/>
        <v>115445.70649382262</v>
      </c>
      <c r="W355" s="106">
        <f t="shared" si="954"/>
        <v>111374.79043996391</v>
      </c>
      <c r="X355" s="106">
        <f t="shared" si="954"/>
        <v>107439.44126842925</v>
      </c>
      <c r="Y355" s="106">
        <f t="shared" si="954"/>
        <v>103635.79186129966</v>
      </c>
      <c r="Z355" s="106">
        <f t="shared" si="954"/>
        <v>99960.029819578034</v>
      </c>
      <c r="AA355" s="106">
        <f t="shared" si="954"/>
        <v>96408.402261613839</v>
      </c>
    </row>
    <row r="356" spans="1:27">
      <c r="A356" s="105" t="s">
        <v>46</v>
      </c>
      <c r="B356" s="106">
        <f>SUM(B355:B355)</f>
        <v>-3180000</v>
      </c>
      <c r="C356" s="106">
        <f>SUM(B355:C355)</f>
        <v>-2910836.9724927302</v>
      </c>
      <c r="D356" s="106">
        <f>SUM(B355:D355)</f>
        <v>-2622268.4468331262</v>
      </c>
      <c r="E356" s="106">
        <f>SUM(B355:E355)</f>
        <v>-2344432.2376112784</v>
      </c>
      <c r="F356" s="106">
        <f>SUM(B355:F355)</f>
        <v>-2076920.4200219037</v>
      </c>
      <c r="G356" s="106">
        <f>SUM(B355:G355)</f>
        <v>-1824461.197794894</v>
      </c>
      <c r="H356" s="106">
        <f>SUM(B355:H355)</f>
        <v>-1580083.5806198323</v>
      </c>
      <c r="I356" s="106">
        <f>SUM(B355:I355)</f>
        <v>-1343624.549428192</v>
      </c>
      <c r="J356" s="106">
        <f>SUM(B355:J355)</f>
        <v>-1155473.5949707036</v>
      </c>
      <c r="K356" s="106">
        <f>SUM(B355:K355)</f>
        <v>-975424.66292297863</v>
      </c>
      <c r="L356" s="106">
        <f>SUM(B355:L355)</f>
        <v>-801249.93090088107</v>
      </c>
      <c r="M356" s="106">
        <f>SUM(B355:M355)</f>
        <v>-632820.92744117195</v>
      </c>
      <c r="N356" s="106">
        <f>SUM(B355:N355)</f>
        <v>-470004.86034973571</v>
      </c>
      <c r="O356" s="106">
        <f>SUM(B355:O355)</f>
        <v>-312665.65032644721</v>
      </c>
      <c r="P356" s="106">
        <f>SUM(B355:P355)</f>
        <v>-160664.84537777078</v>
      </c>
      <c r="Q356" s="106">
        <f>SUM(B355:Q355)</f>
        <v>-13862.42773125376</v>
      </c>
      <c r="R356" s="106">
        <f>SUM(B355:R355)</f>
        <v>127882.47611308118</v>
      </c>
      <c r="S356" s="106">
        <f>SUM(B355:S355)</f>
        <v>264710.97254244657</v>
      </c>
      <c r="T356" s="106">
        <f>SUM(B355:T355)</f>
        <v>396763.85644535144</v>
      </c>
      <c r="U356" s="106">
        <f>SUM(B355:U355)</f>
        <v>524181.13733842003</v>
      </c>
      <c r="V356" s="106">
        <f>SUM(B355:V355)</f>
        <v>639626.84383224265</v>
      </c>
      <c r="W356" s="106">
        <f>SUM(B355:W355)</f>
        <v>751001.63427220657</v>
      </c>
      <c r="X356" s="106">
        <f>SUM(B355:X355)</f>
        <v>858441.07554063585</v>
      </c>
      <c r="Y356" s="106">
        <f>SUM(B355:Y355)</f>
        <v>962076.86740193551</v>
      </c>
      <c r="Z356" s="106">
        <f>SUM(B355:Z355)</f>
        <v>1062036.8972215136</v>
      </c>
      <c r="AA356" s="106">
        <f>SUM(B355:AA355)</f>
        <v>1158445.2994831274</v>
      </c>
    </row>
    <row r="357" spans="1:27">
      <c r="A357" s="105" t="s">
        <v>47</v>
      </c>
      <c r="B357" s="107">
        <f>IF((ISERR(IRR(B352:B352))),0,IF(IRR(B352:B352)&lt;0,0,IRR(B352:B352)))</f>
        <v>0</v>
      </c>
      <c r="C357" s="107">
        <f>IF((ISERR(IRR(B352:C352))),0,IF(IRR(B352:C352)&lt;0,0,IRR(B352:C352)))</f>
        <v>0</v>
      </c>
      <c r="D357" s="107">
        <f>IF((ISERR(IRR(B352:D352))),0,IF(IRR(B352:D352)&lt;0,0,IRR(B352:D352)))</f>
        <v>0</v>
      </c>
      <c r="E357" s="107">
        <f>IF((ISERR(IRR(B352:E352))),0,IF(IRR(B352:E352)&lt;0,0,IRR(B352:E352)))</f>
        <v>0</v>
      </c>
      <c r="F357" s="107">
        <f>IF((ISERR(IRR(B352:F352))),0,IF(IRR(B352:F352)&lt;0,0,IRR(B352:F352)))</f>
        <v>0</v>
      </c>
      <c r="G357" s="107">
        <f>IF((ISERR(IRR(B352:G352))),0,IF(IRR(B352:G352)&lt;0,0,IRR(B352:G352)))</f>
        <v>0</v>
      </c>
      <c r="H357" s="107">
        <f>IF((ISERR(IRR(B352:H352))),0,IF(IRR(B352:H352)&lt;0,0,IRR(B352:H352)))</f>
        <v>0</v>
      </c>
      <c r="I357" s="107">
        <f>IF((ISERR(IRR(B352:I352))),0,IF(IRR(B352:I352)&lt;0,0,IRR(B352:I352)))</f>
        <v>0</v>
      </c>
      <c r="J357" s="107">
        <f>IF((ISERR(IRR(B352:J352))),0,IF(IRR(B352:J352)&lt;0,0,IRR(B352:J352)))</f>
        <v>0</v>
      </c>
      <c r="K357" s="107">
        <f>IF((ISERR(IRR(B352:K352))),0,IF(IRR(B352:K352)&lt;0,0,IRR(B352:K352)))</f>
        <v>5.7482806095876526E-3</v>
      </c>
      <c r="L357" s="107">
        <f>IF((ISERR(IRR(B352:L352))),0,IF(IRR(B352:L352)&lt;0,0,IRR(B352:L352)))</f>
        <v>2.5796582629794784E-2</v>
      </c>
      <c r="M357" s="107">
        <f>IF((ISERR(IRR(B352:M352))),0,IF(IRR(B352:M352)&lt;0,0,IRR(B352:M352)))</f>
        <v>4.2078223448821284E-2</v>
      </c>
      <c r="N357" s="107">
        <f>IF((ISERR(IRR(B352:N352))),0,IF(IRR(B352:N352)&lt;0,0,IRR(B352:N352)))</f>
        <v>5.5415556537182553E-2</v>
      </c>
      <c r="O357" s="107">
        <f>IF((ISERR(IRR(B352:O352))),0,IF(IRR(B352:O352)&lt;0,0,IRR(B352:O352)))</f>
        <v>6.6435966721305029E-2</v>
      </c>
      <c r="P357" s="107">
        <f>IF((ISERR(IRR(B352:P352))),0,IF(IRR(B352:P352)&lt;0,0,IRR(B352:P352)))</f>
        <v>7.5617185769692341E-2</v>
      </c>
      <c r="Q357" s="107">
        <f>IF((ISERR(IRR(B352:Q352))),0,IF(IRR(B352:Q352)&lt;0,0,IRR(B352:Q352)))</f>
        <v>8.3324822519506903E-2</v>
      </c>
      <c r="R357" s="107">
        <f>IF((ISERR(IRR(B352:R352))),0,IF(IRR(B352:R352)&lt;0,0,IRR(B352:R352)))</f>
        <v>8.9840927695440387E-2</v>
      </c>
      <c r="S357" s="107">
        <f>IF((ISERR(IRR(B352:S352))),0,IF(IRR(B352:S352)&lt;0,0,IRR(B352:S352)))</f>
        <v>9.5385093187528858E-2</v>
      </c>
      <c r="T357" s="107">
        <f>IF((ISERR(IRR(B352:T352))),0,IF(IRR(B352:T352)&lt;0,0,IRR(B352:T352)))</f>
        <v>0.10012990219339657</v>
      </c>
      <c r="U357" s="107">
        <f>IF((ISERR(IRR(B352:U352))),0,IF(IRR(B352:U352)&lt;0,0,IRR(B352:U352)))</f>
        <v>0.10421225308349125</v>
      </c>
      <c r="V357" s="107">
        <f>IF((ISERR(IRR(B352:V352))),0,IF(IRR(B352:V352)&lt;0,0,IRR(B352:V352)))</f>
        <v>0.10753561222429697</v>
      </c>
      <c r="W357" s="107">
        <f>IF((ISERR(IRR(B352:W352))),0,IF(IRR(B352:W352)&lt;0,0,IRR(B352:W352)))</f>
        <v>0.11043604247537764</v>
      </c>
      <c r="X357" s="107">
        <f>IF((ISERR(IRR(B352:X352))),0,IF(IRR(B352:X352)&lt;0,0,IRR(B352:X352)))</f>
        <v>0.11297625281921198</v>
      </c>
      <c r="Y357" s="107">
        <f>IF((ISERR(IRR(B352:Y352))),0,IF(IRR(B352:Y352)&lt;0,0,IRR(B352:Y352)))</f>
        <v>0.11520828129890104</v>
      </c>
      <c r="Z357" s="107">
        <f>IF((ISERR(IRR(B352:Z352))),0,IF(IRR(B352:Z352)&lt;0,0,IRR(B352:Z352)))</f>
        <v>0.11717551774075274</v>
      </c>
      <c r="AA357" s="107">
        <f>IF((ISERR(IRR(B352:AA352))),0,IF(IRR(B352:AA352)&lt;0,0,IRR(B352:AA352)))</f>
        <v>0.11891431511870354</v>
      </c>
    </row>
    <row r="358" spans="1:27">
      <c r="A358" s="105" t="s">
        <v>48</v>
      </c>
      <c r="B358" s="108"/>
      <c r="C358" s="108">
        <f t="shared" ref="C358" si="955">IF(AND(C353&gt;0,B353&lt;0),(C342-(C353/(C353-B353))),0)</f>
        <v>0</v>
      </c>
      <c r="D358" s="108">
        <f t="shared" ref="D358" si="956">IF(AND(D353&gt;0,C353&lt;0),(D342-(D353/(D353-C353))),0)</f>
        <v>0</v>
      </c>
      <c r="E358" s="108">
        <f t="shared" ref="E358" si="957">IF(AND(E353&gt;0,D353&lt;0),(E342-(E353/(E353-D353))),0)</f>
        <v>0</v>
      </c>
      <c r="F358" s="108">
        <f t="shared" ref="F358" si="958">IF(AND(F353&gt;0,E353&lt;0),(F342-(F353/(F353-E353))),0)</f>
        <v>0</v>
      </c>
      <c r="G358" s="108">
        <f t="shared" ref="G358" si="959">IF(AND(G353&gt;0,F353&lt;0),(G342-(G353/(G353-F353))),0)</f>
        <v>0</v>
      </c>
      <c r="H358" s="108">
        <f t="shared" ref="H358" si="960">IF(AND(H353&gt;0,G353&lt;0),(H342-(H353/(H353-G353))),0)</f>
        <v>0</v>
      </c>
      <c r="I358" s="108">
        <f t="shared" ref="I358" si="961">IF(AND(I353&gt;0,H353&lt;0),(I342-(I353/(I353-H353))),0)</f>
        <v>0</v>
      </c>
      <c r="J358" s="108">
        <f t="shared" ref="J358" si="962">IF(AND(J353&gt;0,I353&lt;0),(J342-(J353/(J353-I353))),0)</f>
        <v>0</v>
      </c>
      <c r="K358" s="108">
        <f t="shared" ref="K358" si="963">IF(AND(K353&gt;0,J353&lt;0),(K342-(K353/(K353-J353))),0)</f>
        <v>8.7442621793619928</v>
      </c>
      <c r="L358" s="108">
        <f t="shared" ref="L358" si="964">IF(AND(L353&gt;0,K353&lt;0),(L342-(L353/(L353-K353))),0)</f>
        <v>0</v>
      </c>
      <c r="M358" s="108">
        <f t="shared" ref="M358" si="965">IF(AND(M353&gt;0,L353&lt;0),(M342-(M353/(M353-L353))),0)</f>
        <v>0</v>
      </c>
      <c r="N358" s="108">
        <f t="shared" ref="N358" si="966">IF(AND(N353&gt;0,M353&lt;0),(N342-(N353/(N353-M353))),0)</f>
        <v>0</v>
      </c>
      <c r="O358" s="108">
        <f t="shared" ref="O358" si="967">IF(AND(O353&gt;0,N353&lt;0),(O342-(O353/(O353-N353))),0)</f>
        <v>0</v>
      </c>
      <c r="P358" s="108">
        <f>IF(AND(P353&gt;0,O353&lt;0),(P342-(P353/(P353-O353))),0)</f>
        <v>0</v>
      </c>
      <c r="Q358" s="108">
        <f>IF(AND(Q353&gt;0,P353&lt;0),(Q342-(Q353/(Q353-P353))),0)</f>
        <v>0</v>
      </c>
      <c r="R358" s="108">
        <f t="shared" ref="R358" si="968">IF(AND(R353&gt;0,Q353&lt;0),(R342-(R353/(R353-Q353))),0)</f>
        <v>0</v>
      </c>
      <c r="S358" s="108">
        <f t="shared" ref="S358" si="969">IF(AND(S353&gt;0,R353&lt;0),(S342-(S353/(S353-R353))),0)</f>
        <v>0</v>
      </c>
      <c r="T358" s="108">
        <f t="shared" ref="T358" si="970">IF(AND(T353&gt;0,S353&lt;0),(T342-(T353/(T353-S353))),0)</f>
        <v>0</v>
      </c>
      <c r="U358" s="108">
        <f t="shared" ref="U358" si="971">IF(AND(U353&gt;0,T353&lt;0),(U342-(U353/(U353-T353))),0)</f>
        <v>0</v>
      </c>
      <c r="V358" s="108">
        <f t="shared" ref="V358" si="972">IF(AND(V353&gt;0,U353&lt;0),(V342-(V353/(V353-U353))),0)</f>
        <v>0</v>
      </c>
      <c r="W358" s="108">
        <f t="shared" ref="W358" si="973">IF(AND(W353&gt;0,V353&lt;0),(W342-(W353/(W353-V353))),0)</f>
        <v>0</v>
      </c>
      <c r="X358" s="108">
        <f t="shared" ref="X358" si="974">IF(AND(X353&gt;0,W353&lt;0),(X342-(X353/(X353-W353))),0)</f>
        <v>0</v>
      </c>
      <c r="Y358" s="108">
        <f t="shared" ref="Y358" si="975">IF(AND(Y353&gt;0,X353&lt;0),(Y342-(Y353/(Y353-X353))),0)</f>
        <v>0</v>
      </c>
      <c r="Z358" s="108">
        <f t="shared" ref="Z358" si="976">IF(AND(Z353&gt;0,Y353&lt;0),(Z342-(Z353/(Z353-Y353))),0)</f>
        <v>0</v>
      </c>
      <c r="AA358" s="108">
        <f t="shared" ref="AA358" si="977">IF(AND(AA353&gt;0,Z353&lt;0),(AA342-(AA353/(AA353-Z353))),0)</f>
        <v>0</v>
      </c>
    </row>
    <row r="359" spans="1:27" ht="16.5" thickBot="1">
      <c r="A359" s="109" t="s">
        <v>49</v>
      </c>
      <c r="B359" s="110"/>
      <c r="C359" s="110">
        <f t="shared" ref="C359" si="978">IF(AND(C356&gt;0,B356&lt;0),(C342-(C356/(C356-B356))),0)</f>
        <v>0</v>
      </c>
      <c r="D359" s="110">
        <f t="shared" ref="D359" si="979">IF(AND(D356&gt;0,C356&lt;0),(D342-(D356/(D356-C356))),0)</f>
        <v>0</v>
      </c>
      <c r="E359" s="110">
        <f t="shared" ref="E359" si="980">IF(AND(E356&gt;0,D356&lt;0),(E342-(E356/(E356-D356))),0)</f>
        <v>0</v>
      </c>
      <c r="F359" s="110">
        <f t="shared" ref="F359" si="981">IF(AND(F356&gt;0,E356&lt;0),(F342-(F356/(F356-E356))),0)</f>
        <v>0</v>
      </c>
      <c r="G359" s="110">
        <f t="shared" ref="G359" si="982">IF(AND(G356&gt;0,F356&lt;0),(G342-(G356/(G356-F356))),0)</f>
        <v>0</v>
      </c>
      <c r="H359" s="110">
        <f t="shared" ref="H359" si="983">IF(AND(H356&gt;0,G356&lt;0),(H342-(H356/(H356-G356))),0)</f>
        <v>0</v>
      </c>
      <c r="I359" s="110">
        <f t="shared" ref="I359" si="984">IF(AND(I356&gt;0,H356&lt;0),(I342-(I356/(I356-H356))),0)</f>
        <v>0</v>
      </c>
      <c r="J359" s="110">
        <f t="shared" ref="J359" si="985">IF(AND(J356&gt;0,I356&lt;0),(J342-(J356/(J356-I356))),0)</f>
        <v>0</v>
      </c>
      <c r="K359" s="110">
        <f t="shared" ref="K359" si="986">IF(AND(K356&gt;0,J356&lt;0),(K342-(K356/(K356-J356))),0)</f>
        <v>0</v>
      </c>
      <c r="L359" s="110">
        <f t="shared" ref="L359" si="987">IF(AND(L356&gt;0,K356&lt;0),(L342-(L356/(L356-K356))),0)</f>
        <v>0</v>
      </c>
      <c r="M359" s="110">
        <f t="shared" ref="M359" si="988">IF(AND(M356&gt;0,L356&lt;0),(M342-(M356/(M356-L356))),0)</f>
        <v>0</v>
      </c>
      <c r="N359" s="110">
        <f t="shared" ref="N359" si="989">IF(AND(N356&gt;0,M356&lt;0),(N342-(N356/(N356-M356))),0)</f>
        <v>0</v>
      </c>
      <c r="O359" s="110">
        <f t="shared" ref="O359" si="990">IF(AND(O356&gt;0,N356&lt;0),(O342-(O356/(O356-N356))),0)</f>
        <v>0</v>
      </c>
      <c r="P359" s="110">
        <f t="shared" ref="P359" si="991">IF(AND(P356&gt;0,O356&lt;0),(P342-(P356/(P356-O356))),0)</f>
        <v>0</v>
      </c>
      <c r="Q359" s="110">
        <f t="shared" ref="Q359" si="992">IF(AND(Q356&gt;0,P356&lt;0),(Q342-(Q356/(Q356-P356))),0)</f>
        <v>0</v>
      </c>
      <c r="R359" s="110">
        <f t="shared" ref="R359" si="993">IF(AND(R356&gt;0,Q356&lt;0),(R342-(R356/(R356-Q356))),0)</f>
        <v>15.097798420650648</v>
      </c>
      <c r="S359" s="110">
        <f t="shared" ref="S359" si="994">IF(AND(S356&gt;0,R356&lt;0),(S342-(S356/(S356-R356))),0)</f>
        <v>0</v>
      </c>
      <c r="T359" s="110">
        <f t="shared" ref="T359" si="995">IF(AND(T356&gt;0,S356&lt;0),(T342-(T356/(T356-S356))),0)</f>
        <v>0</v>
      </c>
      <c r="U359" s="110">
        <f t="shared" ref="U359" si="996">IF(AND(U356&gt;0,T356&lt;0),(U342-(U356/(U356-T356))),0)</f>
        <v>0</v>
      </c>
      <c r="V359" s="110">
        <f t="shared" ref="V359" si="997">IF(AND(V356&gt;0,U356&lt;0),(V342-(V356/(V356-U356))),0)</f>
        <v>0</v>
      </c>
      <c r="W359" s="110">
        <f t="shared" ref="W359" si="998">IF(AND(W356&gt;0,V356&lt;0),(W342-(W356/(W356-V356))),0)</f>
        <v>0</v>
      </c>
      <c r="X359" s="110">
        <f t="shared" ref="X359" si="999">IF(AND(X356&gt;0,W356&lt;0),(X342-(X356/(X356-W356))),0)</f>
        <v>0</v>
      </c>
      <c r="Y359" s="110">
        <f t="shared" ref="Y359" si="1000">IF(AND(Y356&gt;0,X356&lt;0),(Y342-(Y356/(Y356-X356))),0)</f>
        <v>0</v>
      </c>
      <c r="Z359" s="110">
        <f t="shared" ref="Z359" si="1001">IF(AND(Z356&gt;0,Y356&lt;0),(Z342-(Z356/(Z356-Y356))),0)</f>
        <v>0</v>
      </c>
      <c r="AA359" s="110">
        <f>IF(AND(AA356&gt;0,Z356&lt;0),(AA342-(AA356/(AA356-Z356))),0)</f>
        <v>0</v>
      </c>
    </row>
    <row r="362" spans="1:27" ht="16.5" thickBot="1">
      <c r="A362" s="58" t="s">
        <v>299</v>
      </c>
      <c r="B362" s="58" t="s">
        <v>300</v>
      </c>
      <c r="D362" s="59"/>
      <c r="E362" s="60"/>
      <c r="F362" s="60"/>
      <c r="G362" s="60"/>
      <c r="H362" s="60"/>
    </row>
    <row r="363" spans="1:27" ht="25.5">
      <c r="A363" s="61" t="s">
        <v>301</v>
      </c>
      <c r="B363" s="706">
        <f>0.76*1000000/1.18</f>
        <v>644067.79661016958</v>
      </c>
      <c r="C363" s="680">
        <v>6</v>
      </c>
      <c r="D363" s="704" t="str">
        <f>'приложение 1.1 '!B33</f>
        <v>Монтаж системы АИИС КУЭ на ПС №68 -35/6кВ</v>
      </c>
      <c r="E363" s="62"/>
      <c r="F363" s="62"/>
      <c r="G363" s="62"/>
      <c r="H363" s="62"/>
      <c r="I363" s="62"/>
      <c r="J363" s="62"/>
      <c r="K363" s="62"/>
    </row>
    <row r="364" spans="1:27">
      <c r="A364" s="63" t="s">
        <v>302</v>
      </c>
      <c r="B364" s="64">
        <v>0</v>
      </c>
      <c r="C364" s="62"/>
      <c r="D364" s="62"/>
      <c r="E364" s="62"/>
      <c r="F364" s="62"/>
      <c r="G364" s="62"/>
      <c r="H364" s="62"/>
      <c r="I364" s="62"/>
      <c r="J364" s="62"/>
      <c r="K364" s="62"/>
    </row>
    <row r="365" spans="1:27">
      <c r="A365" s="63" t="s">
        <v>303</v>
      </c>
      <c r="B365" s="64">
        <v>15</v>
      </c>
      <c r="C365" s="62"/>
      <c r="D365" s="57" t="s">
        <v>304</v>
      </c>
      <c r="E365" s="62"/>
      <c r="F365" s="62"/>
      <c r="G365" s="62"/>
      <c r="H365" s="62"/>
      <c r="I365" s="62"/>
      <c r="J365" s="62"/>
      <c r="K365" s="62"/>
    </row>
    <row r="366" spans="1:27" ht="16.5" thickBot="1">
      <c r="A366" s="65" t="s">
        <v>305</v>
      </c>
      <c r="B366" s="68">
        <v>1</v>
      </c>
      <c r="C366" s="62"/>
      <c r="D366" s="929" t="s">
        <v>306</v>
      </c>
      <c r="E366" s="929"/>
      <c r="F366" s="934">
        <f>SUM(B428:X428)</f>
        <v>8.7336248110273367</v>
      </c>
      <c r="G366" s="935">
        <f>SUM(C428:Y428)</f>
        <v>8.7336248110273367</v>
      </c>
      <c r="K366" s="66"/>
    </row>
    <row r="367" spans="1:27">
      <c r="A367" s="70" t="s">
        <v>469</v>
      </c>
      <c r="B367" s="473">
        <f>B363*0.417/100</f>
        <v>2685.7627118644073</v>
      </c>
      <c r="C367" s="62"/>
      <c r="D367" s="929" t="s">
        <v>470</v>
      </c>
      <c r="E367" s="929"/>
      <c r="F367" s="934">
        <f>IF(SUM(B429:AA429)=0,"не окупается",SUM(B429:AA429))</f>
        <v>15.030861487978072</v>
      </c>
      <c r="G367" s="935"/>
      <c r="K367" s="66"/>
    </row>
    <row r="368" spans="1:27">
      <c r="A368" s="72" t="s">
        <v>471</v>
      </c>
      <c r="B368" s="474">
        <v>5</v>
      </c>
      <c r="C368" s="62"/>
      <c r="D368" s="929" t="s">
        <v>50</v>
      </c>
      <c r="E368" s="929"/>
      <c r="F368" s="932">
        <f>AA426</f>
        <v>271218.21492088033</v>
      </c>
      <c r="G368" s="933"/>
      <c r="K368" s="66"/>
    </row>
    <row r="369" spans="1:11">
      <c r="A369" s="72" t="s">
        <v>6</v>
      </c>
      <c r="B369" s="474">
        <v>1</v>
      </c>
      <c r="C369" s="62"/>
      <c r="D369" s="929" t="s">
        <v>7</v>
      </c>
      <c r="E369" s="929"/>
      <c r="F369" s="930" t="str">
        <f>IF(F368&gt;0,"да","нет")</f>
        <v>да</v>
      </c>
      <c r="G369" s="931"/>
      <c r="K369" s="66"/>
    </row>
    <row r="370" spans="1:11">
      <c r="A370" s="72" t="s">
        <v>8</v>
      </c>
      <c r="B370" s="474">
        <f>B363*0.0375/100</f>
        <v>241.52542372881359</v>
      </c>
      <c r="C370" s="62"/>
      <c r="D370" s="62"/>
      <c r="E370" s="62"/>
      <c r="F370" s="62"/>
      <c r="G370" s="62"/>
      <c r="H370" s="62"/>
      <c r="I370" s="62"/>
      <c r="J370" s="62"/>
      <c r="K370" s="62"/>
    </row>
    <row r="371" spans="1:11">
      <c r="A371" s="72" t="s">
        <v>9</v>
      </c>
      <c r="B371" s="475">
        <v>5</v>
      </c>
      <c r="C371" s="62"/>
      <c r="D371" s="62"/>
      <c r="E371" s="62"/>
      <c r="F371" s="62"/>
      <c r="G371" s="62"/>
      <c r="H371" s="62"/>
      <c r="I371" s="62"/>
      <c r="J371" s="62"/>
      <c r="K371" s="62"/>
    </row>
    <row r="372" spans="1:11">
      <c r="A372" s="72" t="s">
        <v>10</v>
      </c>
      <c r="B372" s="475">
        <v>1</v>
      </c>
      <c r="C372" s="62"/>
      <c r="D372" s="62"/>
      <c r="E372" s="62"/>
      <c r="F372" s="62"/>
      <c r="G372" s="62"/>
      <c r="H372" s="62"/>
      <c r="I372" s="62"/>
      <c r="J372" s="62"/>
      <c r="K372" s="62"/>
    </row>
    <row r="373" spans="1:11">
      <c r="A373" s="75" t="s">
        <v>290</v>
      </c>
      <c r="B373" s="475">
        <v>0</v>
      </c>
      <c r="C373" s="62"/>
      <c r="D373" s="62"/>
      <c r="E373" s="62"/>
      <c r="F373" s="62"/>
      <c r="G373" s="62"/>
      <c r="H373" s="62"/>
      <c r="I373" s="62"/>
      <c r="J373" s="62"/>
      <c r="K373" s="62"/>
    </row>
    <row r="374" spans="1:11" ht="16.5" thickBot="1">
      <c r="A374" s="471" t="s">
        <v>100</v>
      </c>
      <c r="B374" s="476">
        <v>0.2</v>
      </c>
      <c r="C374" s="62"/>
      <c r="D374" s="62"/>
      <c r="E374" s="62"/>
      <c r="F374" s="62"/>
      <c r="G374" s="62"/>
      <c r="H374" s="62"/>
      <c r="I374" s="62"/>
      <c r="J374" s="62"/>
      <c r="K374" s="62"/>
    </row>
    <row r="375" spans="1:11">
      <c r="A375" s="61" t="s">
        <v>290</v>
      </c>
      <c r="B375" s="472">
        <v>0</v>
      </c>
      <c r="C375" s="62"/>
      <c r="D375" s="62"/>
      <c r="E375" s="62"/>
      <c r="F375" s="62"/>
      <c r="G375" s="62"/>
      <c r="H375" s="62"/>
      <c r="I375" s="62"/>
      <c r="J375" s="62"/>
      <c r="K375" s="62"/>
    </row>
    <row r="376" spans="1:11">
      <c r="A376" s="63" t="s">
        <v>11</v>
      </c>
      <c r="B376" s="64">
        <v>0</v>
      </c>
      <c r="C376" s="62"/>
      <c r="D376" s="62"/>
      <c r="E376" s="62"/>
      <c r="F376" s="62"/>
      <c r="G376" s="62"/>
      <c r="H376" s="62"/>
      <c r="I376" s="62"/>
      <c r="J376" s="62"/>
      <c r="K376" s="62"/>
    </row>
    <row r="377" spans="1:11" ht="16.5" thickBot="1">
      <c r="A377" s="67" t="s">
        <v>12</v>
      </c>
      <c r="B377" s="69">
        <v>0.1</v>
      </c>
      <c r="C377" s="62"/>
      <c r="D377" s="62"/>
      <c r="E377" s="62"/>
      <c r="F377" s="62"/>
      <c r="G377" s="62"/>
      <c r="H377" s="62"/>
      <c r="I377" s="62"/>
      <c r="J377" s="62"/>
      <c r="K377" s="62"/>
    </row>
    <row r="378" spans="1:11">
      <c r="A378" s="70" t="s">
        <v>13</v>
      </c>
      <c r="B378" s="71">
        <v>7</v>
      </c>
    </row>
    <row r="379" spans="1:11">
      <c r="A379" s="72" t="s">
        <v>14</v>
      </c>
      <c r="B379" s="73">
        <v>0.14000000000000001</v>
      </c>
    </row>
    <row r="380" spans="1:11">
      <c r="A380" s="72" t="s">
        <v>15</v>
      </c>
      <c r="B380" s="74">
        <v>0.14000000000000001</v>
      </c>
    </row>
    <row r="381" spans="1:11">
      <c r="A381" s="72" t="s">
        <v>16</v>
      </c>
      <c r="B381" s="74">
        <f>+(B391+B392)/B363</f>
        <v>0</v>
      </c>
    </row>
    <row r="382" spans="1:11">
      <c r="A382" s="72" t="s">
        <v>17</v>
      </c>
      <c r="B382" s="74">
        <v>8.4000000000000005E-2</v>
      </c>
    </row>
    <row r="383" spans="1:11">
      <c r="A383" s="72" t="s">
        <v>18</v>
      </c>
      <c r="B383" s="74">
        <f>1-B381</f>
        <v>1</v>
      </c>
    </row>
    <row r="384" spans="1:11" ht="16.5" thickBot="1">
      <c r="A384" s="75" t="s">
        <v>19</v>
      </c>
      <c r="B384" s="76">
        <f>B383*B382+B381*B380*(1-B374)</f>
        <v>8.4000000000000005E-2</v>
      </c>
    </row>
    <row r="385" spans="1:27" ht="47.25">
      <c r="A385" s="77" t="s">
        <v>20</v>
      </c>
      <c r="B385" s="78" t="s">
        <v>553</v>
      </c>
      <c r="C385" s="79">
        <v>2017</v>
      </c>
      <c r="D385" s="80">
        <f t="shared" ref="D385" si="1002">C385+1</f>
        <v>2018</v>
      </c>
      <c r="E385" s="80">
        <f t="shared" ref="E385" si="1003">D385+1</f>
        <v>2019</v>
      </c>
      <c r="F385" s="80">
        <f t="shared" ref="F385" si="1004">E385+1</f>
        <v>2020</v>
      </c>
      <c r="G385" s="80">
        <f t="shared" ref="G385" si="1005">F385+1</f>
        <v>2021</v>
      </c>
      <c r="H385" s="80">
        <f t="shared" ref="H385" si="1006">G385+1</f>
        <v>2022</v>
      </c>
      <c r="I385" s="80">
        <f t="shared" ref="I385" si="1007">H385+1</f>
        <v>2023</v>
      </c>
      <c r="J385" s="80">
        <f t="shared" ref="J385" si="1008">I385+1</f>
        <v>2024</v>
      </c>
      <c r="K385" s="80">
        <f t="shared" ref="K385" si="1009">J385+1</f>
        <v>2025</v>
      </c>
      <c r="L385" s="81">
        <f t="shared" ref="L385" si="1010">K385+1</f>
        <v>2026</v>
      </c>
      <c r="M385" s="81">
        <f t="shared" ref="M385" si="1011">L385+1</f>
        <v>2027</v>
      </c>
      <c r="N385" s="81">
        <f t="shared" ref="N385" si="1012">M385+1</f>
        <v>2028</v>
      </c>
      <c r="O385" s="81">
        <f t="shared" ref="O385" si="1013">N385+1</f>
        <v>2029</v>
      </c>
      <c r="P385" s="81">
        <f t="shared" ref="P385" si="1014">O385+1</f>
        <v>2030</v>
      </c>
      <c r="Q385" s="81">
        <f t="shared" ref="Q385" si="1015">P385+1</f>
        <v>2031</v>
      </c>
      <c r="R385" s="81">
        <f t="shared" ref="R385" si="1016">Q385+1</f>
        <v>2032</v>
      </c>
      <c r="S385" s="81">
        <f t="shared" ref="S385" si="1017">R385+1</f>
        <v>2033</v>
      </c>
      <c r="T385" s="81">
        <f t="shared" ref="T385" si="1018">S385+1</f>
        <v>2034</v>
      </c>
      <c r="U385" s="81">
        <f t="shared" ref="U385" si="1019">T385+1</f>
        <v>2035</v>
      </c>
      <c r="V385" s="81">
        <f t="shared" ref="V385" si="1020">U385+1</f>
        <v>2036</v>
      </c>
      <c r="W385" s="81">
        <f t="shared" ref="W385" si="1021">V385+1</f>
        <v>2037</v>
      </c>
      <c r="X385" s="81">
        <f t="shared" ref="X385" si="1022">W385+1</f>
        <v>2038</v>
      </c>
      <c r="Y385" s="81">
        <f t="shared" ref="Y385" si="1023">X385+1</f>
        <v>2039</v>
      </c>
      <c r="Z385" s="81">
        <f t="shared" ref="Z385" si="1024">Y385+1</f>
        <v>2040</v>
      </c>
      <c r="AA385" s="82">
        <f t="shared" ref="AA385" si="1025">Z385+1</f>
        <v>2041</v>
      </c>
    </row>
    <row r="386" spans="1:27">
      <c r="A386" s="83" t="s">
        <v>21</v>
      </c>
      <c r="B386" s="84">
        <v>4.3999999999999997E-2</v>
      </c>
      <c r="C386" s="84">
        <v>4.3999999999999997E-2</v>
      </c>
      <c r="D386" s="84">
        <v>4.3999999999999997E-2</v>
      </c>
      <c r="E386" s="84">
        <v>4.3999999999999997E-2</v>
      </c>
      <c r="F386" s="84">
        <v>4.3999999999999997E-2</v>
      </c>
      <c r="G386" s="84">
        <v>4.3999999999999997E-2</v>
      </c>
      <c r="H386" s="84">
        <v>4.3999999999999997E-2</v>
      </c>
      <c r="I386" s="84">
        <v>4.3999999999999997E-2</v>
      </c>
      <c r="J386" s="84">
        <v>4.3999999999999997E-2</v>
      </c>
      <c r="K386" s="84">
        <v>4.3999999999999997E-2</v>
      </c>
      <c r="L386" s="84">
        <v>4.3999999999999997E-2</v>
      </c>
      <c r="M386" s="84">
        <v>4.3999999999999997E-2</v>
      </c>
      <c r="N386" s="84">
        <v>4.3999999999999997E-2</v>
      </c>
      <c r="O386" s="84">
        <v>4.3999999999999997E-2</v>
      </c>
      <c r="P386" s="84">
        <v>4.3999999999999997E-2</v>
      </c>
      <c r="Q386" s="84">
        <v>4.3999999999999997E-2</v>
      </c>
      <c r="R386" s="84">
        <v>4.3999999999999997E-2</v>
      </c>
      <c r="S386" s="84">
        <v>4.3999999999999997E-2</v>
      </c>
      <c r="T386" s="84">
        <v>4.3999999999999997E-2</v>
      </c>
      <c r="U386" s="84">
        <v>4.3999999999999997E-2</v>
      </c>
      <c r="V386" s="84">
        <v>4.3999999999999997E-2</v>
      </c>
      <c r="W386" s="84">
        <v>4.3999999999999997E-2</v>
      </c>
      <c r="X386" s="84">
        <v>4.3999999999999997E-2</v>
      </c>
      <c r="Y386" s="84">
        <v>4.3999999999999997E-2</v>
      </c>
      <c r="Z386" s="84">
        <v>4.3999999999999997E-2</v>
      </c>
      <c r="AA386" s="84">
        <v>4.3999999999999997E-2</v>
      </c>
    </row>
    <row r="387" spans="1:27">
      <c r="A387" s="83" t="s">
        <v>22</v>
      </c>
      <c r="B387" s="84">
        <f>B386</f>
        <v>4.3999999999999997E-2</v>
      </c>
      <c r="C387" s="84">
        <f>(1+B387)*(1+C386)-1</f>
        <v>8.9936000000000016E-2</v>
      </c>
      <c r="D387" s="84">
        <f>(1+C387)*(1+D386)-1</f>
        <v>0.13789318400000017</v>
      </c>
      <c r="E387" s="84">
        <f t="shared" ref="E387" si="1026">(1+D387)*(1+E386)-1</f>
        <v>0.1879604840960003</v>
      </c>
      <c r="F387" s="84">
        <f t="shared" ref="F387" si="1027">(1+E387)*(1+F386)-1</f>
        <v>0.24023074539622447</v>
      </c>
      <c r="G387" s="84">
        <f t="shared" ref="G387" si="1028">(1+F387)*(1+G386)-1</f>
        <v>0.29480089819365829</v>
      </c>
      <c r="H387" s="84">
        <f t="shared" ref="H387" si="1029">(1+G387)*(1+H386)-1</f>
        <v>0.35177213771417937</v>
      </c>
      <c r="I387" s="84">
        <f t="shared" ref="I387" si="1030">(1+H387)*(1+I386)-1</f>
        <v>0.41125011177360338</v>
      </c>
      <c r="J387" s="84">
        <f t="shared" ref="J387" si="1031">(1+I387)*(1+J386)-1</f>
        <v>0.47334511669164203</v>
      </c>
      <c r="K387" s="84">
        <f t="shared" ref="K387" si="1032">(1+J387)*(1+K386)-1</f>
        <v>0.53817230182607423</v>
      </c>
      <c r="L387" s="84">
        <f t="shared" ref="L387" si="1033">(1+K387)*(1+L386)-1</f>
        <v>0.60585188310642146</v>
      </c>
      <c r="M387" s="84">
        <f t="shared" ref="M387" si="1034">(1+L387)*(1+M386)-1</f>
        <v>0.67650936596310407</v>
      </c>
      <c r="N387" s="84">
        <f t="shared" ref="N387" si="1035">(1+M387)*(1+N386)-1</f>
        <v>0.75027577806548074</v>
      </c>
      <c r="O387" s="84">
        <f t="shared" ref="O387" si="1036">(1+N387)*(1+O386)-1</f>
        <v>0.82728791230036203</v>
      </c>
      <c r="P387" s="84">
        <f t="shared" ref="P387" si="1037">(1+O387)*(1+P386)-1</f>
        <v>0.90768858044157796</v>
      </c>
      <c r="Q387" s="84">
        <f t="shared" ref="Q387" si="1038">(1+P387)*(1+Q386)-1</f>
        <v>0.99162687798100757</v>
      </c>
      <c r="R387" s="84">
        <f t="shared" ref="R387" si="1039">(1+Q387)*(1+R386)-1</f>
        <v>1.0792584606121718</v>
      </c>
      <c r="S387" s="84">
        <f t="shared" ref="S387" si="1040">(1+R387)*(1+S386)-1</f>
        <v>1.1707458328791076</v>
      </c>
      <c r="T387" s="84">
        <f t="shared" ref="T387" si="1041">(1+S387)*(1+T386)-1</f>
        <v>1.2662586495257884</v>
      </c>
      <c r="U387" s="84">
        <f t="shared" ref="U387" si="1042">(1+T387)*(1+U386)-1</f>
        <v>1.365974030104923</v>
      </c>
      <c r="V387" s="84">
        <f t="shared" ref="V387" si="1043">(1+U387)*(1+V386)-1</f>
        <v>1.4700768874295398</v>
      </c>
      <c r="W387" s="84">
        <f t="shared" ref="W387" si="1044">(1+V387)*(1+W386)-1</f>
        <v>1.5787602704764399</v>
      </c>
      <c r="X387" s="84">
        <f t="shared" ref="X387" si="1045">(1+W387)*(1+X386)-1</f>
        <v>1.6922257223774033</v>
      </c>
      <c r="Y387" s="84">
        <f t="shared" ref="Y387" si="1046">(1+X387)*(1+Y386)-1</f>
        <v>1.810683654162009</v>
      </c>
      <c r="Z387" s="84">
        <f t="shared" ref="Z387" si="1047">(1+Y387)*(1+Z386)-1</f>
        <v>1.9343537349451374</v>
      </c>
      <c r="AA387" s="84">
        <f t="shared" ref="AA387" si="1048">(1+Z387)*(1+AA386)-1</f>
        <v>2.0634652992827234</v>
      </c>
    </row>
    <row r="388" spans="1:27" ht="16.5" thickBot="1">
      <c r="A388" s="85" t="s">
        <v>23</v>
      </c>
      <c r="B388" s="86"/>
      <c r="C388" s="87">
        <f>B363*0.12*1.075</f>
        <v>83084.745762711871</v>
      </c>
      <c r="D388" s="87">
        <f>C388*(1+D386)</f>
        <v>86740.474576271197</v>
      </c>
      <c r="E388" s="87">
        <f t="shared" ref="E388" si="1049">D388*(1+E386)</f>
        <v>90557.055457627139</v>
      </c>
      <c r="F388" s="87">
        <f t="shared" ref="F388" si="1050">E388*(1+F386)</f>
        <v>94541.565897762732</v>
      </c>
      <c r="G388" s="87">
        <f t="shared" ref="G388" si="1051">F388*(1+G386)</f>
        <v>98701.394797264293</v>
      </c>
      <c r="H388" s="87">
        <f t="shared" ref="H388" si="1052">G388*(1+H386)</f>
        <v>103044.25616834393</v>
      </c>
      <c r="I388" s="87">
        <f t="shared" ref="I388" si="1053">H388*(1+I386)</f>
        <v>107578.20343975106</v>
      </c>
      <c r="J388" s="87">
        <f t="shared" ref="J388" si="1054">I388*(1+J386)</f>
        <v>112311.64439110011</v>
      </c>
      <c r="K388" s="87">
        <f t="shared" ref="K388" si="1055">J388*(1+K386)</f>
        <v>117253.35674430852</v>
      </c>
      <c r="L388" s="87">
        <f t="shared" ref="L388" si="1056">K388*(1+L386)</f>
        <v>122412.5044410581</v>
      </c>
      <c r="M388" s="87">
        <f t="shared" ref="M388" si="1057">L388*(1+M386)</f>
        <v>127798.65463646466</v>
      </c>
      <c r="N388" s="87">
        <f t="shared" ref="N388" si="1058">M388*(1+N386)</f>
        <v>133421.79544046911</v>
      </c>
      <c r="O388" s="87">
        <f t="shared" ref="O388" si="1059">N388*(1+O386)</f>
        <v>139292.35443984976</v>
      </c>
      <c r="P388" s="87">
        <f t="shared" ref="P388" si="1060">O388*(1+P386)</f>
        <v>145421.21803520314</v>
      </c>
      <c r="Q388" s="87">
        <f t="shared" ref="Q388" si="1061">P388*(1+Q386)</f>
        <v>151819.7516287521</v>
      </c>
      <c r="R388" s="87">
        <f t="shared" ref="R388" si="1062">Q388*(1+R386)</f>
        <v>158499.82070041719</v>
      </c>
      <c r="S388" s="87">
        <f t="shared" ref="S388" si="1063">R388*(1+S386)</f>
        <v>165473.81281123555</v>
      </c>
      <c r="T388" s="87">
        <f t="shared" ref="T388" si="1064">S388*(1+T386)</f>
        <v>172754.66057492991</v>
      </c>
      <c r="U388" s="87">
        <f t="shared" ref="U388" si="1065">T388*(1+U386)</f>
        <v>180355.86564022684</v>
      </c>
      <c r="V388" s="87">
        <f t="shared" ref="V388" si="1066">U388*(1+V386)</f>
        <v>188291.52372839683</v>
      </c>
      <c r="W388" s="87">
        <f t="shared" ref="W388" si="1067">V388*(1+W386)</f>
        <v>196576.35077244631</v>
      </c>
      <c r="X388" s="87">
        <f t="shared" ref="X388" si="1068">W388*(1+X386)</f>
        <v>205225.71020643396</v>
      </c>
      <c r="Y388" s="87">
        <f t="shared" ref="Y388" si="1069">X388*(1+Y386)</f>
        <v>214255.64145551706</v>
      </c>
      <c r="Z388" s="87">
        <f t="shared" ref="Z388" si="1070">Y388*(1+Z386)</f>
        <v>223682.88967955983</v>
      </c>
      <c r="AA388" s="87">
        <f t="shared" ref="AA388" si="1071">Z388*(1+AA386)</f>
        <v>233524.93682546046</v>
      </c>
    </row>
    <row r="389" spans="1:27" ht="16.5" thickBot="1"/>
    <row r="390" spans="1:27" ht="47.25">
      <c r="A390" s="88" t="s">
        <v>24</v>
      </c>
      <c r="B390" s="78" t="s">
        <v>553</v>
      </c>
      <c r="C390" s="79">
        <f>C385</f>
        <v>2017</v>
      </c>
      <c r="D390" s="80">
        <f t="shared" ref="D390" si="1072">C390+1</f>
        <v>2018</v>
      </c>
      <c r="E390" s="80">
        <f t="shared" ref="E390" si="1073">D390+1</f>
        <v>2019</v>
      </c>
      <c r="F390" s="80">
        <f t="shared" ref="F390" si="1074">E390+1</f>
        <v>2020</v>
      </c>
      <c r="G390" s="80">
        <f t="shared" ref="G390" si="1075">F390+1</f>
        <v>2021</v>
      </c>
      <c r="H390" s="80">
        <f t="shared" ref="H390" si="1076">G390+1</f>
        <v>2022</v>
      </c>
      <c r="I390" s="80">
        <f t="shared" ref="I390" si="1077">H390+1</f>
        <v>2023</v>
      </c>
      <c r="J390" s="80">
        <f t="shared" ref="J390" si="1078">I390+1</f>
        <v>2024</v>
      </c>
      <c r="K390" s="80">
        <f t="shared" ref="K390" si="1079">J390+1</f>
        <v>2025</v>
      </c>
      <c r="L390" s="80">
        <f t="shared" ref="L390" si="1080">K390+1</f>
        <v>2026</v>
      </c>
      <c r="M390" s="80">
        <f t="shared" ref="M390" si="1081">L390+1</f>
        <v>2027</v>
      </c>
      <c r="N390" s="80">
        <f t="shared" ref="N390" si="1082">M390+1</f>
        <v>2028</v>
      </c>
      <c r="O390" s="80">
        <f t="shared" ref="O390" si="1083">N390+1</f>
        <v>2029</v>
      </c>
      <c r="P390" s="80">
        <f t="shared" ref="P390" si="1084">O390+1</f>
        <v>2030</v>
      </c>
      <c r="Q390" s="80">
        <f t="shared" ref="Q390" si="1085">P390+1</f>
        <v>2031</v>
      </c>
      <c r="R390" s="80">
        <f t="shared" ref="R390" si="1086">Q390+1</f>
        <v>2032</v>
      </c>
      <c r="S390" s="80">
        <f t="shared" ref="S390" si="1087">R390+1</f>
        <v>2033</v>
      </c>
      <c r="T390" s="80">
        <f t="shared" ref="T390" si="1088">S390+1</f>
        <v>2034</v>
      </c>
      <c r="U390" s="80">
        <f t="shared" ref="U390" si="1089">T390+1</f>
        <v>2035</v>
      </c>
      <c r="V390" s="80">
        <f t="shared" ref="V390" si="1090">U390+1</f>
        <v>2036</v>
      </c>
      <c r="W390" s="80">
        <f t="shared" ref="W390" si="1091">V390+1</f>
        <v>2037</v>
      </c>
      <c r="X390" s="80">
        <f t="shared" ref="X390" si="1092">W390+1</f>
        <v>2038</v>
      </c>
      <c r="Y390" s="80">
        <f t="shared" ref="Y390" si="1093">X390+1</f>
        <v>2039</v>
      </c>
      <c r="Z390" s="80">
        <f t="shared" ref="Z390" si="1094">Y390+1</f>
        <v>2040</v>
      </c>
      <c r="AA390" s="80">
        <f t="shared" ref="AA390" si="1095">Z390+1</f>
        <v>2041</v>
      </c>
    </row>
    <row r="391" spans="1:27">
      <c r="A391" s="89" t="s">
        <v>25</v>
      </c>
      <c r="B391" s="90">
        <v>0</v>
      </c>
      <c r="C391" s="90">
        <f t="shared" ref="C391" si="1096">B391+B392-B393</f>
        <v>0</v>
      </c>
      <c r="D391" s="90">
        <f>C391+C392-C393</f>
        <v>0</v>
      </c>
      <c r="E391" s="90">
        <f>D391+D392-D393</f>
        <v>0</v>
      </c>
      <c r="F391" s="90">
        <f t="shared" ref="F391" si="1097">E391+E392-E393</f>
        <v>0</v>
      </c>
      <c r="G391" s="90">
        <f t="shared" ref="G391" si="1098">F391+F392-F393</f>
        <v>0</v>
      </c>
      <c r="H391" s="90">
        <f t="shared" ref="H391" si="1099">G391+G392-G393</f>
        <v>0</v>
      </c>
      <c r="I391" s="90">
        <f>H391+H392-H393</f>
        <v>0</v>
      </c>
      <c r="J391" s="90">
        <f t="shared" ref="J391" si="1100">I391+I392-I393</f>
        <v>0</v>
      </c>
      <c r="K391" s="90">
        <f t="shared" ref="K391" si="1101">J391+J392-J393</f>
        <v>0</v>
      </c>
      <c r="L391" s="90">
        <f t="shared" ref="L391" si="1102">K391+K392-K393</f>
        <v>0</v>
      </c>
      <c r="M391" s="90">
        <f>L391+L392-L393</f>
        <v>0</v>
      </c>
      <c r="N391" s="90">
        <f t="shared" ref="N391" si="1103">M391+M392-M393</f>
        <v>0</v>
      </c>
      <c r="O391" s="90">
        <f t="shared" ref="O391" si="1104">N391+N392-N393</f>
        <v>0</v>
      </c>
      <c r="P391" s="90">
        <f t="shared" ref="P391" si="1105">O391+O392-O393</f>
        <v>0</v>
      </c>
      <c r="Q391" s="90">
        <f t="shared" ref="Q391" si="1106">P391+P392-P393</f>
        <v>0</v>
      </c>
      <c r="R391" s="344">
        <f t="shared" ref="R391" si="1107">Q391+Q392-Q393</f>
        <v>0</v>
      </c>
      <c r="S391" s="344">
        <f t="shared" ref="S391" si="1108">R391+R392-R393</f>
        <v>0</v>
      </c>
      <c r="T391" s="344">
        <f t="shared" ref="T391" si="1109">S391+S392-S393</f>
        <v>0</v>
      </c>
      <c r="U391" s="344">
        <f t="shared" ref="U391" si="1110">T391+T392-T393</f>
        <v>0</v>
      </c>
      <c r="V391" s="344">
        <f t="shared" ref="V391" si="1111">U391+U392-U393</f>
        <v>0</v>
      </c>
      <c r="W391" s="344">
        <f t="shared" ref="W391" si="1112">V391+V392-V393</f>
        <v>0</v>
      </c>
      <c r="X391" s="344">
        <f t="shared" ref="X391" si="1113">W391+W392-W393</f>
        <v>0</v>
      </c>
      <c r="Y391" s="344">
        <f t="shared" ref="Y391" si="1114">X391+X392-X393</f>
        <v>0</v>
      </c>
      <c r="Z391" s="344">
        <f t="shared" ref="Z391" si="1115">Y391+Y392-Y393</f>
        <v>0</v>
      </c>
      <c r="AA391" s="344">
        <f t="shared" ref="AA391" si="1116">Z391+Z392-Z393</f>
        <v>0</v>
      </c>
    </row>
    <row r="392" spans="1:27">
      <c r="A392" s="89" t="s">
        <v>26</v>
      </c>
      <c r="B392" s="596">
        <v>0</v>
      </c>
      <c r="C392" s="596">
        <v>0</v>
      </c>
      <c r="D392" s="596">
        <v>0</v>
      </c>
      <c r="E392" s="596">
        <v>0</v>
      </c>
      <c r="F392" s="596">
        <v>0</v>
      </c>
      <c r="G392" s="90">
        <v>0</v>
      </c>
      <c r="H392" s="124">
        <v>0</v>
      </c>
      <c r="I392" s="124">
        <v>0</v>
      </c>
      <c r="J392" s="124">
        <v>0</v>
      </c>
      <c r="K392" s="124">
        <v>0</v>
      </c>
      <c r="L392" s="124">
        <v>0</v>
      </c>
      <c r="M392" s="124">
        <v>0</v>
      </c>
      <c r="N392" s="124">
        <v>0</v>
      </c>
      <c r="O392" s="124">
        <v>0</v>
      </c>
      <c r="P392" s="124">
        <v>0</v>
      </c>
      <c r="Q392" s="124">
        <v>0</v>
      </c>
      <c r="R392" s="344">
        <v>0</v>
      </c>
      <c r="S392" s="344">
        <v>0</v>
      </c>
      <c r="T392" s="344">
        <v>0</v>
      </c>
      <c r="U392" s="344">
        <v>0</v>
      </c>
      <c r="V392" s="344">
        <v>0</v>
      </c>
      <c r="W392" s="344">
        <v>0</v>
      </c>
      <c r="X392" s="344">
        <v>0</v>
      </c>
      <c r="Y392" s="344">
        <v>0</v>
      </c>
      <c r="Z392" s="344">
        <v>0</v>
      </c>
      <c r="AA392" s="344">
        <v>0</v>
      </c>
    </row>
    <row r="393" spans="1:27">
      <c r="A393" s="83" t="s">
        <v>27</v>
      </c>
      <c r="B393" s="124">
        <v>0</v>
      </c>
      <c r="C393" s="124">
        <v>0</v>
      </c>
      <c r="D393" s="124">
        <v>0</v>
      </c>
      <c r="E393" s="124"/>
      <c r="F393" s="90"/>
      <c r="G393" s="124">
        <f>G391/7</f>
        <v>0</v>
      </c>
      <c r="H393" s="90">
        <f>IF(ROUND(H391,1)=0,0,G393+H392/$B$30)</f>
        <v>0</v>
      </c>
      <c r="I393" s="90">
        <f>IF(ROUND(I391,1)=0,0,H393+I392/$B$30)</f>
        <v>0</v>
      </c>
      <c r="J393" s="90">
        <f>IF(ROUND(J391,1)=0,0,I393+J392/B378)</f>
        <v>0</v>
      </c>
      <c r="K393" s="90">
        <f>IF(ROUND(K391,1)=0,0,J393+K392/B378)</f>
        <v>0</v>
      </c>
      <c r="L393" s="90">
        <f>IF(ROUND(L391,1)=0,0,K393+L392/B378)</f>
        <v>0</v>
      </c>
      <c r="M393" s="90">
        <f>IF(ROUND(M391,1)=0,0,L393+M392/B378)</f>
        <v>0</v>
      </c>
      <c r="N393" s="90">
        <f>IF(ROUND(N391,1)=0,0,M393+N392/B378)</f>
        <v>0</v>
      </c>
      <c r="O393" s="90">
        <f>IF(ROUND(O391,1)=0,0,N393+O392/B378)</f>
        <v>0</v>
      </c>
      <c r="P393" s="90">
        <f>IF(ROUND(P391,1)=0,0,O393+P392/B378)</f>
        <v>0</v>
      </c>
      <c r="Q393" s="90">
        <f>IF(ROUND(Q391,1)=0,0,P393+Q392/B378)</f>
        <v>0</v>
      </c>
      <c r="R393" s="344">
        <f>IF(ROUND(R391,1)=0,0,Q393+R392/B378)</f>
        <v>0</v>
      </c>
      <c r="S393" s="344">
        <f>IF(ROUND(S391,1)=0,0,R393+S392/B378)</f>
        <v>0</v>
      </c>
      <c r="T393" s="344">
        <f>IF(ROUND(T391,1)=0,0,S393+T392/B378)</f>
        <v>0</v>
      </c>
      <c r="U393" s="344">
        <f>IF(ROUND(U391,1)=0,0,T393+U392/B378)</f>
        <v>0</v>
      </c>
      <c r="V393" s="344">
        <f>IF(ROUND(V391,1)=0,0,U393+V392/B378)</f>
        <v>0</v>
      </c>
      <c r="W393" s="344">
        <f>IF(ROUND(W391,1)=0,0,V393+W392/B378)</f>
        <v>0</v>
      </c>
      <c r="X393" s="344">
        <f>IF(ROUND(X391,1)=0,0,W393+X392/B378)</f>
        <v>0</v>
      </c>
      <c r="Y393" s="344">
        <f>IF(ROUND(Y391,1)=0,0,X393+Y392/B378)</f>
        <v>0</v>
      </c>
      <c r="Z393" s="344">
        <f>IF(ROUND(Z391,1)=0,0,Y393+Z392/B378)</f>
        <v>0</v>
      </c>
      <c r="AA393" s="344">
        <f>IF(ROUND(AA391,1)=0,0,Z393+AA392/B378)</f>
        <v>0</v>
      </c>
    </row>
    <row r="394" spans="1:27" ht="16.5" thickBot="1">
      <c r="A394" s="85" t="s">
        <v>28</v>
      </c>
      <c r="B394" s="91">
        <f>AVERAGE(SUM(B391:B392),(SUM(B391:B392)-B393))*B380</f>
        <v>0</v>
      </c>
      <c r="C394" s="91">
        <f>AVERAGE(SUM(C391:C392),(SUM(C391:C392)-C393))*B380</f>
        <v>0</v>
      </c>
      <c r="D394" s="91">
        <f>AVERAGE(SUM(D391:D392),(SUM(D391:D392)-D393))*B380</f>
        <v>0</v>
      </c>
      <c r="E394" s="91">
        <f>AVERAGE(SUM(E391:E392),(SUM(E391:E392)-E393))*B380</f>
        <v>0</v>
      </c>
      <c r="F394" s="91">
        <f>AVERAGE(SUM(F391:F392),(SUM(F391:F392)-F393))*B380</f>
        <v>0</v>
      </c>
      <c r="G394" s="91">
        <f>AVERAGE(SUM(G391:G392),(SUM(G391:G392)-G393))*B380</f>
        <v>0</v>
      </c>
      <c r="H394" s="91">
        <f>AVERAGE(SUM(H391:H392),(SUM(H391:H392)-H393))*B380</f>
        <v>0</v>
      </c>
      <c r="I394" s="91">
        <f>AVERAGE(SUM(I391:I392),(SUM(I391:I392)-I393))*B380</f>
        <v>0</v>
      </c>
      <c r="J394" s="91">
        <f>AVERAGE(SUM(J391:J392),(SUM(J391:J392)-J393))*B380</f>
        <v>0</v>
      </c>
      <c r="K394" s="91">
        <f>AVERAGE(SUM(K391:K392),(SUM(K391:K392)-K393))*B380</f>
        <v>0</v>
      </c>
      <c r="L394" s="91">
        <f>AVERAGE(SUM(L391:L392),(SUM(L391:L392)-L393))*B380</f>
        <v>0</v>
      </c>
      <c r="M394" s="91">
        <f>AVERAGE(SUM(M391:M392),(SUM(M391:M392)-M393))*B380</f>
        <v>0</v>
      </c>
      <c r="N394" s="91">
        <f>AVERAGE(SUM(N391:N392),(SUM(N391:N392)-N393))*B380</f>
        <v>0</v>
      </c>
      <c r="O394" s="91">
        <f>AVERAGE(SUM(O391:O392),(SUM(O391:O392)-O393))*B380</f>
        <v>0</v>
      </c>
      <c r="P394" s="91">
        <f>AVERAGE(SUM(P391:P392),(SUM(P391:P392)-P393))*B380</f>
        <v>0</v>
      </c>
      <c r="Q394" s="91">
        <f>AVERAGE(SUM(Q391:Q392),(SUM(Q391:Q392)-Q393))*B380</f>
        <v>0</v>
      </c>
      <c r="R394" s="345">
        <f>AVERAGE(SUM(R391:R392),(SUM(R391:R392)-R393))*B380</f>
        <v>0</v>
      </c>
      <c r="S394" s="345">
        <f>AVERAGE(SUM(S391:S392),(SUM(S391:S392)-S393))*B380</f>
        <v>0</v>
      </c>
      <c r="T394" s="345">
        <f>AVERAGE(SUM(T391:T392),(SUM(T391:T392)-T393))*B380</f>
        <v>0</v>
      </c>
      <c r="U394" s="345">
        <f>AVERAGE(SUM(U391:U392),(SUM(U391:U392)-U393))*B380</f>
        <v>0</v>
      </c>
      <c r="V394" s="345">
        <f>AVERAGE(SUM(V391:V392),(SUM(V391:V392)-V393))*B380</f>
        <v>0</v>
      </c>
      <c r="W394" s="345">
        <f>AVERAGE(SUM(W391:W392),(SUM(W391:W392)-W393))*B380</f>
        <v>0</v>
      </c>
      <c r="X394" s="345">
        <f>AVERAGE(SUM(X391:X392),(SUM(X391:X392)-X393))*B380</f>
        <v>0</v>
      </c>
      <c r="Y394" s="345">
        <f>AVERAGE(SUM(Y391:Y392),(SUM(Y391:Y392)-Y393))*B380</f>
        <v>0</v>
      </c>
      <c r="Z394" s="345">
        <f>AVERAGE(SUM(Z391:Z392),(SUM(Z391:Z392)-Z393))*B380</f>
        <v>0</v>
      </c>
      <c r="AA394" s="345">
        <f>AVERAGE(SUM(AA391:AA392),(SUM(AA391:AA392)-AA393))*B380</f>
        <v>0</v>
      </c>
    </row>
    <row r="395" spans="1:27" ht="16.5" thickBot="1">
      <c r="A395" s="92"/>
      <c r="B395" s="93"/>
      <c r="C395" s="93"/>
      <c r="D395" s="93"/>
      <c r="E395" s="93"/>
      <c r="F395" s="93"/>
      <c r="G395" s="93"/>
      <c r="H395" s="93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</row>
    <row r="396" spans="1:27" ht="47.25">
      <c r="A396" s="88" t="s">
        <v>29</v>
      </c>
      <c r="B396" s="78" t="s">
        <v>553</v>
      </c>
      <c r="C396" s="79">
        <f>C390</f>
        <v>2017</v>
      </c>
      <c r="D396" s="80">
        <f t="shared" ref="D396" si="1117">C396+1</f>
        <v>2018</v>
      </c>
      <c r="E396" s="80">
        <f t="shared" ref="E396" si="1118">D396+1</f>
        <v>2019</v>
      </c>
      <c r="F396" s="80">
        <f t="shared" ref="F396" si="1119">E396+1</f>
        <v>2020</v>
      </c>
      <c r="G396" s="80">
        <f t="shared" ref="G396" si="1120">F396+1</f>
        <v>2021</v>
      </c>
      <c r="H396" s="80">
        <f t="shared" ref="H396" si="1121">G396+1</f>
        <v>2022</v>
      </c>
      <c r="I396" s="80">
        <f t="shared" ref="I396" si="1122">H396+1</f>
        <v>2023</v>
      </c>
      <c r="J396" s="80">
        <f t="shared" ref="J396" si="1123">I396+1</f>
        <v>2024</v>
      </c>
      <c r="K396" s="80">
        <f t="shared" ref="K396" si="1124">J396+1</f>
        <v>2025</v>
      </c>
      <c r="L396" s="80">
        <f t="shared" ref="L396" si="1125">K396+1</f>
        <v>2026</v>
      </c>
      <c r="M396" s="80">
        <f t="shared" ref="M396" si="1126">L396+1</f>
        <v>2027</v>
      </c>
      <c r="N396" s="80">
        <f t="shared" ref="N396" si="1127">M396+1</f>
        <v>2028</v>
      </c>
      <c r="O396" s="80">
        <f t="shared" ref="O396" si="1128">N396+1</f>
        <v>2029</v>
      </c>
      <c r="P396" s="80">
        <f t="shared" ref="P396" si="1129">O396+1</f>
        <v>2030</v>
      </c>
      <c r="Q396" s="80">
        <f t="shared" ref="Q396" si="1130">P396+1</f>
        <v>2031</v>
      </c>
      <c r="R396" s="80">
        <f t="shared" ref="R396" si="1131">Q396+1</f>
        <v>2032</v>
      </c>
      <c r="S396" s="80">
        <f t="shared" ref="S396" si="1132">R396+1</f>
        <v>2033</v>
      </c>
      <c r="T396" s="80">
        <f t="shared" ref="T396" si="1133">S396+1</f>
        <v>2034</v>
      </c>
      <c r="U396" s="80">
        <f t="shared" ref="U396" si="1134">T396+1</f>
        <v>2035</v>
      </c>
      <c r="V396" s="80">
        <f t="shared" ref="V396" si="1135">U396+1</f>
        <v>2036</v>
      </c>
      <c r="W396" s="80">
        <f t="shared" ref="W396" si="1136">V396+1</f>
        <v>2037</v>
      </c>
      <c r="X396" s="80">
        <f t="shared" ref="X396" si="1137">W396+1</f>
        <v>2038</v>
      </c>
      <c r="Y396" s="80">
        <f t="shared" ref="Y396" si="1138">X396+1</f>
        <v>2039</v>
      </c>
      <c r="Z396" s="80">
        <f t="shared" ref="Z396" si="1139">Y396+1</f>
        <v>2040</v>
      </c>
      <c r="AA396" s="80">
        <f t="shared" ref="AA396" si="1140">Z396+1</f>
        <v>2041</v>
      </c>
    </row>
    <row r="397" spans="1:27">
      <c r="A397" s="94" t="s">
        <v>30</v>
      </c>
      <c r="B397" s="95"/>
      <c r="C397" s="95">
        <f>C388*B366</f>
        <v>83084.745762711871</v>
      </c>
      <c r="D397" s="95">
        <f>D388*B366</f>
        <v>86740.474576271197</v>
      </c>
      <c r="E397" s="95">
        <f>E388*B366</f>
        <v>90557.055457627139</v>
      </c>
      <c r="F397" s="95">
        <f>F388*B366</f>
        <v>94541.565897762732</v>
      </c>
      <c r="G397" s="95">
        <f>G388*B366</f>
        <v>98701.394797264293</v>
      </c>
      <c r="H397" s="95">
        <f>H388*B366</f>
        <v>103044.25616834393</v>
      </c>
      <c r="I397" s="95">
        <f>I388*B366</f>
        <v>107578.20343975106</v>
      </c>
      <c r="J397" s="95">
        <f>J388*B366</f>
        <v>112311.64439110011</v>
      </c>
      <c r="K397" s="95">
        <f>K388*B366</f>
        <v>117253.35674430852</v>
      </c>
      <c r="L397" s="95">
        <f>L388*B366</f>
        <v>122412.5044410581</v>
      </c>
      <c r="M397" s="95">
        <f>M388*B366</f>
        <v>127798.65463646466</v>
      </c>
      <c r="N397" s="95">
        <f>N388*B366</f>
        <v>133421.79544046911</v>
      </c>
      <c r="O397" s="95">
        <f>O388*B366</f>
        <v>139292.35443984976</v>
      </c>
      <c r="P397" s="95">
        <f>P388*B366</f>
        <v>145421.21803520314</v>
      </c>
      <c r="Q397" s="95">
        <f>Q388*B366</f>
        <v>151819.7516287521</v>
      </c>
      <c r="R397" s="95">
        <f>R388*B366</f>
        <v>158499.82070041719</v>
      </c>
      <c r="S397" s="95">
        <f>S388*B366</f>
        <v>165473.81281123555</v>
      </c>
      <c r="T397" s="95">
        <f>T388*B366</f>
        <v>172754.66057492991</v>
      </c>
      <c r="U397" s="95">
        <f>U388*B366</f>
        <v>180355.86564022684</v>
      </c>
      <c r="V397" s="95">
        <f>V388*B366</f>
        <v>188291.52372839683</v>
      </c>
      <c r="W397" s="95">
        <f>W388*B366</f>
        <v>196576.35077244631</v>
      </c>
      <c r="X397" s="95">
        <f>X388*B366</f>
        <v>205225.71020643396</v>
      </c>
      <c r="Y397" s="95">
        <f>Y388*B366</f>
        <v>214255.64145551706</v>
      </c>
      <c r="Z397" s="95">
        <f>Z388*B366</f>
        <v>223682.88967955983</v>
      </c>
      <c r="AA397" s="95">
        <f>AA388*B366</f>
        <v>233524.93682546046</v>
      </c>
    </row>
    <row r="398" spans="1:27">
      <c r="A398" s="89" t="s">
        <v>31</v>
      </c>
      <c r="B398" s="96"/>
      <c r="C398" s="96">
        <f>SUM(C399:C404)</f>
        <v>-16887.731862598874</v>
      </c>
      <c r="D398" s="96">
        <f t="shared" ref="D398:AA398" si="1141">SUM(D399:D404)</f>
        <v>-16555.799974157744</v>
      </c>
      <c r="E398" s="96">
        <f t="shared" si="1141"/>
        <v>-16230.04500352916</v>
      </c>
      <c r="F398" s="96">
        <f t="shared" si="1141"/>
        <v>-15910.738735096871</v>
      </c>
      <c r="G398" s="96">
        <f t="shared" si="1141"/>
        <v>-15598.164911757518</v>
      </c>
      <c r="H398" s="96">
        <f t="shared" si="1141"/>
        <v>-15292.619761095189</v>
      </c>
      <c r="I398" s="96">
        <f t="shared" si="1141"/>
        <v>-14994.412544707671</v>
      </c>
      <c r="J398" s="96">
        <f t="shared" si="1141"/>
        <v>-14703.866131703056</v>
      </c>
      <c r="K398" s="96">
        <f t="shared" si="1141"/>
        <v>-14421.317597430192</v>
      </c>
      <c r="L398" s="96">
        <f t="shared" si="1141"/>
        <v>-14147.11884855328</v>
      </c>
      <c r="M398" s="96">
        <f t="shared" si="1141"/>
        <v>-13881.637275629737</v>
      </c>
      <c r="N398" s="96">
        <f t="shared" si="1141"/>
        <v>-13625.256434401512</v>
      </c>
      <c r="O398" s="96">
        <f t="shared" si="1141"/>
        <v>-13378.376757063204</v>
      </c>
      <c r="P398" s="96">
        <f t="shared" si="1141"/>
        <v>-13141.416294825962</v>
      </c>
      <c r="Q398" s="96">
        <f t="shared" si="1141"/>
        <v>-12914.811493154237</v>
      </c>
      <c r="R398" s="96">
        <f t="shared" si="1141"/>
        <v>-13171.3343852937</v>
      </c>
      <c r="S398" s="96">
        <f t="shared" si="1141"/>
        <v>-13439.144284687303</v>
      </c>
      <c r="T398" s="96">
        <f t="shared" si="1141"/>
        <v>-13718.737819654223</v>
      </c>
      <c r="U398" s="96">
        <f t="shared" si="1141"/>
        <v>-14010.633470159686</v>
      </c>
      <c r="V398" s="96">
        <f t="shared" si="1141"/>
        <v>-14315.37252928739</v>
      </c>
      <c r="W398" s="96">
        <f t="shared" si="1141"/>
        <v>-14633.520107016713</v>
      </c>
      <c r="X398" s="96">
        <f t="shared" si="1141"/>
        <v>-14965.666178166128</v>
      </c>
      <c r="Y398" s="96">
        <f t="shared" si="1141"/>
        <v>-15312.426676446117</v>
      </c>
      <c r="Z398" s="96">
        <f t="shared" si="1141"/>
        <v>-15674.44463665042</v>
      </c>
      <c r="AA398" s="96">
        <f t="shared" si="1141"/>
        <v>-16052.391387103718</v>
      </c>
    </row>
    <row r="399" spans="1:27">
      <c r="A399" s="97" t="s">
        <v>32</v>
      </c>
      <c r="B399" s="96"/>
      <c r="C399" s="96">
        <f>-IF(C385&lt;=B368,0,B367*(1+C387)*B366)</f>
        <v>-2927.3094671186445</v>
      </c>
      <c r="D399" s="96">
        <f>-IF(D385&lt;=B368,0,B367*(1+D387)*B366)</f>
        <v>-3056.1110836718653</v>
      </c>
      <c r="E399" s="96">
        <f>-IF(E385&lt;=B368,0,B367*(1+E387)*B366)</f>
        <v>-3190.5799713534279</v>
      </c>
      <c r="F399" s="96">
        <f>-IF(F385&lt;=B368,0,B367*(1+F387)*B366)</f>
        <v>-3330.9654900929791</v>
      </c>
      <c r="G399" s="96">
        <f>-IF(G385&lt;=B368,0,B367*(1+G387)*B366)</f>
        <v>-3477.5279716570699</v>
      </c>
      <c r="H399" s="96">
        <f>-IF(H385&lt;=B368,0,B367*(1+H387)*B366)</f>
        <v>-3630.5392024099815</v>
      </c>
      <c r="I399" s="96">
        <f>-IF(I385&lt;=B368,0,B367*(1+I387)*B366)</f>
        <v>-3790.282927316021</v>
      </c>
      <c r="J399" s="96">
        <f>-IF(J385&lt;=B368,0,B367*(1+J387)*B366)</f>
        <v>-3957.0553761179262</v>
      </c>
      <c r="K399" s="96">
        <f>-IF(K385&lt;=B368,0,B367*(1+K387)*B366)</f>
        <v>-4131.1658126671146</v>
      </c>
      <c r="L399" s="96">
        <f>-IF(L385&lt;=B368,0,B367*(1+L387)*B366)</f>
        <v>-4312.9371084244676</v>
      </c>
      <c r="M399" s="96">
        <f>-IF(M385&lt;=B368,0,B367*(1+M387)*B366)</f>
        <v>-4502.706341195144</v>
      </c>
      <c r="N399" s="96">
        <f>-IF(N385&lt;=B368,0,B367*(1+N387)*B366)</f>
        <v>-4700.8254202077305</v>
      </c>
      <c r="O399" s="96">
        <f>-IF(O385&lt;=B368,0,B367*(1+O387)*B366)</f>
        <v>-4907.6617386968719</v>
      </c>
      <c r="P399" s="96">
        <f>-IF(P385&lt;=B368,0,B367*(1+P387)*B366)</f>
        <v>-5123.5988551995342</v>
      </c>
      <c r="Q399" s="96">
        <f>-IF(Q385&lt;=B368,0,B367*(1+Q387)*B366)</f>
        <v>-5349.0372048283134</v>
      </c>
      <c r="R399" s="96">
        <f>-IF(R385&lt;=B368,0,B367*(1+R387)*B366)</f>
        <v>-5584.394841840759</v>
      </c>
      <c r="S399" s="96">
        <f>-IF(S385&lt;=B368,0,B367*(1+S387)*B366)</f>
        <v>-5830.1082148817532</v>
      </c>
      <c r="T399" s="96">
        <f>-IF(T385&lt;=B368,0,B367*(1+T387)*B366)</f>
        <v>-6086.6329763365511</v>
      </c>
      <c r="U399" s="96">
        <f>-IF(U385&lt;=B368,0,B367*(1+U387)*B366)</f>
        <v>-6354.4448272953587</v>
      </c>
      <c r="V399" s="96">
        <f>-IF(V385&lt;=B368,0,B367*(1+V387)*B366)</f>
        <v>-6634.0403996963551</v>
      </c>
      <c r="W399" s="96">
        <f>-IF(W385&lt;=B368,0,B367*(1+W387)*B366)</f>
        <v>-6925.9381772829956</v>
      </c>
      <c r="X399" s="96">
        <f>-IF(X385&lt;=B368,0,B367*(1+X387)*B366)</f>
        <v>-7230.6794570834472</v>
      </c>
      <c r="Y399" s="96">
        <f>-IF(Y385&lt;=B368,0,B367*(1+Y387)*B366)</f>
        <v>-7548.8293531951194</v>
      </c>
      <c r="Z399" s="96">
        <f>-IF(Z385&lt;=B368,0,B367*(1+Z387)*B366)</f>
        <v>-7880.9778447357039</v>
      </c>
      <c r="AA399" s="96">
        <f>-IF(AA385&lt;=B368,0,B367*(1+AA387)*B366)</f>
        <v>-8227.7408699040752</v>
      </c>
    </row>
    <row r="400" spans="1:27">
      <c r="A400" s="97" t="str">
        <f>A370</f>
        <v>Прочие расходы при эксплуатации объекта, руб. без НДС</v>
      </c>
      <c r="B400" s="96"/>
      <c r="C400" s="96">
        <f>-IF(C385&lt;=B371,0,B370*(1+C387)*B366)</f>
        <v>-263.24725423728819</v>
      </c>
      <c r="D400" s="96">
        <f>-IF(D385&lt;=B371,0,B370*(1+D387)*B366)</f>
        <v>-274.83013342372891</v>
      </c>
      <c r="E400" s="96">
        <f>-IF(E385&lt;=B371,0,B370*(1+E387)*B366)</f>
        <v>-286.92265929437298</v>
      </c>
      <c r="F400" s="96">
        <f>-IF(F385&lt;=B371,0,B370*(1+F387)*B366)</f>
        <v>-299.54725630332547</v>
      </c>
      <c r="G400" s="96">
        <f>-IF(G385&lt;=B371,0,B370*(1+G387)*B366)</f>
        <v>-312.72733558067176</v>
      </c>
      <c r="H400" s="96">
        <f>-IF(H385&lt;=B371,0,B370*(1+H387)*B366)</f>
        <v>-326.48733834622135</v>
      </c>
      <c r="I400" s="96">
        <f>-IF(I385&lt;=B371,0,B370*(1+I387)*B366)</f>
        <v>-340.85278123345512</v>
      </c>
      <c r="J400" s="96">
        <f>-IF(J385&lt;=B371,0,B370*(1+J387)*B366)</f>
        <v>-355.85030360772714</v>
      </c>
      <c r="K400" s="96">
        <f>-IF(K385&lt;=B371,0,B370*(1+K387)*B366)</f>
        <v>-371.50771696646711</v>
      </c>
      <c r="L400" s="96">
        <f>-IF(L385&lt;=B371,0,B370*(1+L387)*B366)</f>
        <v>-387.85405651299169</v>
      </c>
      <c r="M400" s="96">
        <f>-IF(M385&lt;=B371,0,B370*(1+M387)*B366)</f>
        <v>-404.9196349995633</v>
      </c>
      <c r="N400" s="96">
        <f>-IF(N385&lt;=B371,0,B370*(1+N387)*B366)</f>
        <v>-422.73609893954415</v>
      </c>
      <c r="O400" s="96">
        <f>-IF(O385&lt;=B371,0,B370*(1+O387)*B366)</f>
        <v>-441.3364872928841</v>
      </c>
      <c r="P400" s="96">
        <f>-IF(P385&lt;=B371,0,B370*(1+P387)*B366)</f>
        <v>-460.755292733771</v>
      </c>
      <c r="Q400" s="96">
        <f>-IF(Q385&lt;=B371,0,B370*(1+Q387)*B366)</f>
        <v>-481.028525614057</v>
      </c>
      <c r="R400" s="96">
        <f>-IF(R385&lt;=B371,0,B370*(1+R387)*B366)</f>
        <v>-502.19378074107544</v>
      </c>
      <c r="S400" s="96">
        <f>-IF(S385&lt;=B371,0,B370*(1+S387)*B366)</f>
        <v>-524.29030709368283</v>
      </c>
      <c r="T400" s="96">
        <f>-IF(T385&lt;=B371,0,B370*(1+T387)*B366)</f>
        <v>-547.35908060580493</v>
      </c>
      <c r="U400" s="96">
        <f>-IF(U385&lt;=B371,0,B370*(1+U387)*B366)</f>
        <v>-571.44288015246025</v>
      </c>
      <c r="V400" s="96">
        <f>-IF(V385&lt;=B371,0,B370*(1+V387)*B366)</f>
        <v>-596.58636687916862</v>
      </c>
      <c r="W400" s="96">
        <f>-IF(W385&lt;=B371,0,B370*(1+W387)*B366)</f>
        <v>-622.83616702185213</v>
      </c>
      <c r="X400" s="96">
        <f>-IF(X385&lt;=B371,0,B370*(1+X387)*B366)</f>
        <v>-650.24095837081359</v>
      </c>
      <c r="Y400" s="96">
        <f>-IF(Y385&lt;=B371,0,B370*(1+Y387)*B366)</f>
        <v>-678.85156053912942</v>
      </c>
      <c r="Z400" s="96">
        <f>-IF(Z385&lt;=B371,0,B370*(1+Z387)*B366)</f>
        <v>-708.72102920285113</v>
      </c>
      <c r="AA400" s="96">
        <f>-IF(AA385&lt;=B371,0,B370*(1+AA387)*B366)</f>
        <v>-739.90475448777647</v>
      </c>
    </row>
    <row r="401" spans="1:27">
      <c r="A401" s="97" t="s">
        <v>290</v>
      </c>
      <c r="B401" s="96"/>
      <c r="C401" s="96"/>
      <c r="D401" s="96"/>
      <c r="E401" s="96"/>
      <c r="F401" s="96"/>
      <c r="G401" s="96"/>
      <c r="H401" s="96"/>
      <c r="I401" s="96"/>
      <c r="J401" s="96"/>
      <c r="K401" s="96"/>
      <c r="L401" s="96"/>
      <c r="M401" s="96"/>
      <c r="N401" s="96"/>
      <c r="O401" s="96"/>
      <c r="P401" s="96"/>
      <c r="Q401" s="96"/>
      <c r="R401" s="96"/>
      <c r="S401" s="96"/>
      <c r="T401" s="96"/>
      <c r="U401" s="96"/>
      <c r="V401" s="96"/>
      <c r="W401" s="96"/>
      <c r="X401" s="96"/>
      <c r="Y401" s="96"/>
      <c r="Z401" s="96"/>
      <c r="AA401" s="96"/>
    </row>
    <row r="402" spans="1:27">
      <c r="A402" s="97" t="s">
        <v>290</v>
      </c>
      <c r="B402" s="96"/>
      <c r="C402" s="96"/>
      <c r="D402" s="96"/>
      <c r="E402" s="96"/>
      <c r="F402" s="96"/>
      <c r="G402" s="96"/>
      <c r="H402" s="96"/>
      <c r="I402" s="96"/>
      <c r="J402" s="96"/>
      <c r="K402" s="96"/>
      <c r="L402" s="96"/>
      <c r="M402" s="96"/>
      <c r="N402" s="96"/>
      <c r="O402" s="96"/>
      <c r="P402" s="96"/>
      <c r="Q402" s="96"/>
      <c r="R402" s="96"/>
      <c r="S402" s="96"/>
      <c r="T402" s="96"/>
      <c r="U402" s="96"/>
      <c r="V402" s="96"/>
      <c r="W402" s="96"/>
      <c r="X402" s="96"/>
      <c r="Y402" s="96"/>
      <c r="Z402" s="96"/>
      <c r="AA402" s="96"/>
    </row>
    <row r="403" spans="1:27">
      <c r="A403" s="97" t="s">
        <v>290</v>
      </c>
      <c r="B403" s="96"/>
      <c r="C403" s="96"/>
      <c r="D403" s="96"/>
      <c r="E403" s="96"/>
      <c r="F403" s="96"/>
      <c r="G403" s="96"/>
      <c r="H403" s="96"/>
      <c r="I403" s="96"/>
      <c r="J403" s="96"/>
      <c r="K403" s="96"/>
      <c r="L403" s="96"/>
      <c r="M403" s="96"/>
      <c r="N403" s="96"/>
      <c r="O403" s="96"/>
      <c r="P403" s="96"/>
      <c r="Q403" s="96"/>
      <c r="R403" s="96"/>
      <c r="S403" s="96"/>
      <c r="T403" s="96"/>
      <c r="U403" s="96"/>
      <c r="V403" s="96"/>
      <c r="W403" s="96"/>
      <c r="X403" s="96"/>
      <c r="Y403" s="96"/>
      <c r="Z403" s="96"/>
      <c r="AA403" s="96"/>
    </row>
    <row r="404" spans="1:27">
      <c r="A404" s="97" t="s">
        <v>33</v>
      </c>
      <c r="B404" s="96"/>
      <c r="C404" s="96">
        <f>-((B363+B364)*B366+(B363+B364)*B366+SUM(B406:C406))/2*2.2%</f>
        <v>-13697.175141242942</v>
      </c>
      <c r="D404" s="96">
        <f>-((B363+B364)*B366+(B363+B364)*B366+SUM(B406:D406))/2*2.2%</f>
        <v>-13224.858757062151</v>
      </c>
      <c r="E404" s="96">
        <f>-((B363+B364)*B366+(B363+B364)*B366+SUM(B406:E406))/2*2.2%</f>
        <v>-12752.542372881358</v>
      </c>
      <c r="F404" s="96">
        <f>-((B363+B364)*B366+(B363+B364)*B366+SUM(B406:F406))/2*2.2%</f>
        <v>-12280.225988700568</v>
      </c>
      <c r="G404" s="96">
        <f>-((B363+B364)*B366+(B363+B364)*B366+SUM(B406:G406))/2*2.2%</f>
        <v>-11807.909604519777</v>
      </c>
      <c r="H404" s="96">
        <f>-((B363+B364)*B366+(B363+B364)*B366+SUM(B406:H406))/2*2.2%</f>
        <v>-11335.593220338986</v>
      </c>
      <c r="I404" s="96">
        <f>-((B363+B364)*B366+(B363+B364)*B366+SUM(B406:I406))/2*2.2%</f>
        <v>-10863.276836158195</v>
      </c>
      <c r="J404" s="96">
        <f>-((B363+B364)*B366+(B363+B364)*B366+SUM(B406:J406))/2*2.2%</f>
        <v>-10390.960451977402</v>
      </c>
      <c r="K404" s="96">
        <f>-((B363+B364)*B366+(B363+B364)*B366+SUM(B406:K406))/2*2.2%</f>
        <v>-9918.6440677966111</v>
      </c>
      <c r="L404" s="96">
        <f>-((B363+B364)*B366+(B363+B364)*B366+SUM(B406:L406))/2*2.2%</f>
        <v>-9446.327683615822</v>
      </c>
      <c r="M404" s="96">
        <f>-((B363+B364)*B366+(B363+B364)*B366+SUM(B406:M406))/2*2.2%</f>
        <v>-8974.0112994350293</v>
      </c>
      <c r="N404" s="96">
        <f>-((B363+B364)*B366+(B363+B364)*B366+SUM(B406:N406))/2*2.2%</f>
        <v>-8501.6949152542384</v>
      </c>
      <c r="O404" s="96">
        <f>-((B363+B364)*B366+(B363+B364)*B366+SUM(B406:O406))/2*2.2%</f>
        <v>-8029.3785310734474</v>
      </c>
      <c r="P404" s="96">
        <f>-((B363+B364)*B366+(B363+B364)*B366+SUM(B406:P406))/2*2.2%</f>
        <v>-7557.0621468926565</v>
      </c>
      <c r="Q404" s="96">
        <f>-((B363+B364)*B366+(B363+B364)*B366+SUM(B406:Q406))/2*2.2%</f>
        <v>-7084.7457627118665</v>
      </c>
      <c r="R404" s="96">
        <f>-((B363+B364)*B366+(B363+B364)*B366+SUM(B406:R406))/2*2.2%</f>
        <v>-7084.7457627118665</v>
      </c>
      <c r="S404" s="96">
        <f>-((B363+B364)*B366+(B363+B364)*B366+SUM(B406:S406))/2*2.2%</f>
        <v>-7084.7457627118665</v>
      </c>
      <c r="T404" s="96">
        <f>-((B363+B364)*B366+(B363+B364)*B366+SUM(B406:T406))/2*2.2%</f>
        <v>-7084.7457627118665</v>
      </c>
      <c r="U404" s="96">
        <f>-((B363+B364)*B366+(B363+B364)*B366+SUM(B406:U406))/2*2.2%</f>
        <v>-7084.7457627118665</v>
      </c>
      <c r="V404" s="96">
        <f>-((B363+B364)*B366+(B363+B364)*B366+SUM(B406:V406))/2*2.2%</f>
        <v>-7084.7457627118665</v>
      </c>
      <c r="W404" s="96">
        <f>-((B363+B364)*B366+(B363+B364)*B366+SUM(B406:W406))/2*2.2%</f>
        <v>-7084.7457627118665</v>
      </c>
      <c r="X404" s="96">
        <f>-((B363+B364)*B366+(B363+B364)*B366+SUM(B406:X406))/2*2.2%</f>
        <v>-7084.7457627118665</v>
      </c>
      <c r="Y404" s="96">
        <f>-((B363+B364)*B366+(B363+B364)*B366+SUM(B406:Y406))/2*2.2%</f>
        <v>-7084.7457627118665</v>
      </c>
      <c r="Z404" s="96">
        <f>-((B363+B364)*B366+(B363+B364)*B366+SUM(B406:Z406))/2*2.2%</f>
        <v>-7084.7457627118665</v>
      </c>
      <c r="AA404" s="96">
        <f>-((B363+B364)*B366+(B363+B364)*B366+SUM(B406:AA406))/2*2.2%</f>
        <v>-7084.7457627118665</v>
      </c>
    </row>
    <row r="405" spans="1:27">
      <c r="A405" s="98" t="s">
        <v>114</v>
      </c>
      <c r="B405" s="95"/>
      <c r="C405" s="95">
        <f t="shared" ref="C405:AA405" si="1142">C397+C398</f>
        <v>66197.013900113001</v>
      </c>
      <c r="D405" s="95">
        <f t="shared" si="1142"/>
        <v>70184.67460211346</v>
      </c>
      <c r="E405" s="95">
        <f t="shared" si="1142"/>
        <v>74327.010454097981</v>
      </c>
      <c r="F405" s="95">
        <f t="shared" si="1142"/>
        <v>78630.827162665868</v>
      </c>
      <c r="G405" s="95">
        <f t="shared" si="1142"/>
        <v>83103.229885506778</v>
      </c>
      <c r="H405" s="95">
        <f t="shared" si="1142"/>
        <v>87751.636407248734</v>
      </c>
      <c r="I405" s="95">
        <f t="shared" si="1142"/>
        <v>92583.790895043392</v>
      </c>
      <c r="J405" s="95">
        <f t="shared" si="1142"/>
        <v>97607.778259397048</v>
      </c>
      <c r="K405" s="95">
        <f t="shared" si="1142"/>
        <v>102832.03914687832</v>
      </c>
      <c r="L405" s="95">
        <f t="shared" si="1142"/>
        <v>108265.38559250483</v>
      </c>
      <c r="M405" s="95">
        <f t="shared" si="1142"/>
        <v>113917.01736083493</v>
      </c>
      <c r="N405" s="95">
        <f t="shared" si="1142"/>
        <v>119796.5390060676</v>
      </c>
      <c r="O405" s="95">
        <f t="shared" si="1142"/>
        <v>125913.97768278656</v>
      </c>
      <c r="P405" s="95">
        <f t="shared" si="1142"/>
        <v>132279.80174037718</v>
      </c>
      <c r="Q405" s="95">
        <f t="shared" si="1142"/>
        <v>138904.94013559786</v>
      </c>
      <c r="R405" s="95">
        <f t="shared" si="1142"/>
        <v>145328.48631512347</v>
      </c>
      <c r="S405" s="95">
        <f t="shared" si="1142"/>
        <v>152034.66852654825</v>
      </c>
      <c r="T405" s="95">
        <f t="shared" si="1142"/>
        <v>159035.92275527568</v>
      </c>
      <c r="U405" s="95">
        <f t="shared" si="1142"/>
        <v>166345.23217006715</v>
      </c>
      <c r="V405" s="95">
        <f t="shared" si="1142"/>
        <v>173976.15119910944</v>
      </c>
      <c r="W405" s="95">
        <f t="shared" si="1142"/>
        <v>181942.83066542959</v>
      </c>
      <c r="X405" s="95">
        <f t="shared" si="1142"/>
        <v>190260.04402826782</v>
      </c>
      <c r="Y405" s="95">
        <f t="shared" si="1142"/>
        <v>198943.21477907096</v>
      </c>
      <c r="Z405" s="95">
        <f t="shared" si="1142"/>
        <v>208008.44504290941</v>
      </c>
      <c r="AA405" s="95">
        <f t="shared" si="1142"/>
        <v>217472.54543835676</v>
      </c>
    </row>
    <row r="406" spans="1:27">
      <c r="A406" s="97" t="s">
        <v>278</v>
      </c>
      <c r="B406" s="96"/>
      <c r="C406" s="96">
        <f>-0.76*1000000/1.18/15</f>
        <v>-42937.853107344636</v>
      </c>
      <c r="D406" s="96">
        <f>C406</f>
        <v>-42937.853107344636</v>
      </c>
      <c r="E406" s="96">
        <f>D406</f>
        <v>-42937.853107344636</v>
      </c>
      <c r="F406" s="96">
        <f>IF(B363-ABS(SUM(B406:E406))&gt;0,-B363/B365,0)</f>
        <v>-42937.853107344636</v>
      </c>
      <c r="G406" s="96">
        <f>IF(B363-ABS(SUM(B406:F406))&gt;0,-B363/B365,0)</f>
        <v>-42937.853107344636</v>
      </c>
      <c r="H406" s="96">
        <f>IF(B363-ABS(SUM(B406:G406))&gt;0,-B363/B365,0)</f>
        <v>-42937.853107344636</v>
      </c>
      <c r="I406" s="96">
        <f>IF(B363-ABS(SUM(B406:H406))&gt;0,-B363/B365,0)</f>
        <v>-42937.853107344636</v>
      </c>
      <c r="J406" s="96">
        <f>IF(B363-ABS(SUM(B406:I406))&gt;0,-B363/B365,0)</f>
        <v>-42937.853107344636</v>
      </c>
      <c r="K406" s="96">
        <f>IF(B363-ABS(SUM(B406:J406))&gt;0,-B363/B365,0)</f>
        <v>-42937.853107344636</v>
      </c>
      <c r="L406" s="96">
        <f>IF(B363-ABS(SUM(B406:K406))&gt;0,-B363/B365,0)</f>
        <v>-42937.853107344636</v>
      </c>
      <c r="M406" s="96">
        <f>IF(B363-ABS(SUM(B406:L406))&gt;0,-B363/B365,0)</f>
        <v>-42937.853107344636</v>
      </c>
      <c r="N406" s="96">
        <f>IF(B363-ABS(SUM(B406:M406))&gt;0,-B363/B365,0)</f>
        <v>-42937.853107344636</v>
      </c>
      <c r="O406" s="96">
        <f>IF(B363-ABS(SUM(B406:N406))&gt;0,-B363/B365,0)</f>
        <v>-42937.853107344636</v>
      </c>
      <c r="P406" s="96">
        <f>IF(B363-ABS(SUM(B406:O406))&gt;0,-B363/B365,0)</f>
        <v>-42937.853107344636</v>
      </c>
      <c r="Q406" s="96">
        <f>IF(B363-ABS(SUM(B406:P406))&gt;0,-B363/B365,0)</f>
        <v>-42937.853107344636</v>
      </c>
      <c r="R406" s="96">
        <f>IF(B363-ABS(SUM(B406:Q406))&gt;0,-B363/B365,0)</f>
        <v>0</v>
      </c>
      <c r="S406" s="96">
        <f>IF(B363-ABS(SUM(B406:R406))&gt;0,-B363/B365,0)</f>
        <v>0</v>
      </c>
      <c r="T406" s="96">
        <f>IF(B363-ABS(SUM(B406:S406))&gt;0,-B363/B365,0)</f>
        <v>0</v>
      </c>
      <c r="U406" s="96">
        <f>IF(B363-ABS(SUM(B406:T406))&gt;0,-B363/B365,0)</f>
        <v>0</v>
      </c>
      <c r="V406" s="96">
        <f>IF(B363-ABS(SUM(B406:U406))&gt;0,-B363/B365,0)</f>
        <v>0</v>
      </c>
      <c r="W406" s="96">
        <f>IF(B363-ABS(SUM(B406:V406))&gt;0,-B363/B365,0)</f>
        <v>0</v>
      </c>
      <c r="X406" s="96">
        <f>IF(B363-ABS(SUM(B406:W406))&gt;0,-B363/B365,0)</f>
        <v>0</v>
      </c>
      <c r="Y406" s="96">
        <f>IF(B363-ABS(SUM(B406:X406))&gt;0,-B363/B365,0)</f>
        <v>0</v>
      </c>
      <c r="Z406" s="96">
        <f>IF(B363-ABS(SUM(B406:Y406))&gt;0,-B363/B365,0)</f>
        <v>0</v>
      </c>
      <c r="AA406" s="96">
        <f>IF(B363-ABS(SUM(B406:Z406))&gt;0,-B363/B365,0)</f>
        <v>0</v>
      </c>
    </row>
    <row r="407" spans="1:27">
      <c r="A407" s="98" t="s">
        <v>34</v>
      </c>
      <c r="B407" s="95"/>
      <c r="C407" s="95">
        <f t="shared" ref="C407:AA407" si="1143">C405+C406</f>
        <v>23259.160792768365</v>
      </c>
      <c r="D407" s="95">
        <f t="shared" si="1143"/>
        <v>27246.821494768825</v>
      </c>
      <c r="E407" s="95">
        <f t="shared" si="1143"/>
        <v>31389.157346753345</v>
      </c>
      <c r="F407" s="95">
        <f t="shared" si="1143"/>
        <v>35692.974055321232</v>
      </c>
      <c r="G407" s="95">
        <f t="shared" si="1143"/>
        <v>40165.376778162143</v>
      </c>
      <c r="H407" s="95">
        <f t="shared" si="1143"/>
        <v>44813.783299904098</v>
      </c>
      <c r="I407" s="95">
        <f t="shared" si="1143"/>
        <v>49645.937787698756</v>
      </c>
      <c r="J407" s="95">
        <f t="shared" si="1143"/>
        <v>54669.925152052412</v>
      </c>
      <c r="K407" s="95">
        <f t="shared" si="1143"/>
        <v>59894.186039533684</v>
      </c>
      <c r="L407" s="95">
        <f t="shared" si="1143"/>
        <v>65327.532485160191</v>
      </c>
      <c r="M407" s="95">
        <f t="shared" si="1143"/>
        <v>70979.164253490293</v>
      </c>
      <c r="N407" s="95">
        <f t="shared" si="1143"/>
        <v>76858.685898722964</v>
      </c>
      <c r="O407" s="95">
        <f t="shared" si="1143"/>
        <v>82976.124575441921</v>
      </c>
      <c r="P407" s="95">
        <f t="shared" si="1143"/>
        <v>89341.948633032545</v>
      </c>
      <c r="Q407" s="95">
        <f t="shared" si="1143"/>
        <v>95967.087028253227</v>
      </c>
      <c r="R407" s="95">
        <f t="shared" si="1143"/>
        <v>145328.48631512347</v>
      </c>
      <c r="S407" s="95">
        <f t="shared" si="1143"/>
        <v>152034.66852654825</v>
      </c>
      <c r="T407" s="95">
        <f t="shared" si="1143"/>
        <v>159035.92275527568</v>
      </c>
      <c r="U407" s="95">
        <f t="shared" si="1143"/>
        <v>166345.23217006715</v>
      </c>
      <c r="V407" s="95">
        <f t="shared" si="1143"/>
        <v>173976.15119910944</v>
      </c>
      <c r="W407" s="95">
        <f t="shared" si="1143"/>
        <v>181942.83066542959</v>
      </c>
      <c r="X407" s="95">
        <f t="shared" si="1143"/>
        <v>190260.04402826782</v>
      </c>
      <c r="Y407" s="95">
        <f t="shared" si="1143"/>
        <v>198943.21477907096</v>
      </c>
      <c r="Z407" s="95">
        <f t="shared" si="1143"/>
        <v>208008.44504290941</v>
      </c>
      <c r="AA407" s="95">
        <f t="shared" si="1143"/>
        <v>217472.54543835676</v>
      </c>
    </row>
    <row r="408" spans="1:27">
      <c r="A408" s="97" t="s">
        <v>62</v>
      </c>
      <c r="B408" s="96">
        <f t="shared" ref="B408:AA408" si="1144">-B394</f>
        <v>0</v>
      </c>
      <c r="C408" s="96">
        <f t="shared" si="1144"/>
        <v>0</v>
      </c>
      <c r="D408" s="96">
        <f t="shared" si="1144"/>
        <v>0</v>
      </c>
      <c r="E408" s="96">
        <f t="shared" si="1144"/>
        <v>0</v>
      </c>
      <c r="F408" s="96">
        <f t="shared" si="1144"/>
        <v>0</v>
      </c>
      <c r="G408" s="96">
        <f t="shared" si="1144"/>
        <v>0</v>
      </c>
      <c r="H408" s="96">
        <f t="shared" si="1144"/>
        <v>0</v>
      </c>
      <c r="I408" s="96">
        <f t="shared" si="1144"/>
        <v>0</v>
      </c>
      <c r="J408" s="96">
        <f t="shared" si="1144"/>
        <v>0</v>
      </c>
      <c r="K408" s="96">
        <f t="shared" si="1144"/>
        <v>0</v>
      </c>
      <c r="L408" s="96">
        <f t="shared" si="1144"/>
        <v>0</v>
      </c>
      <c r="M408" s="96">
        <f t="shared" si="1144"/>
        <v>0</v>
      </c>
      <c r="N408" s="96">
        <f t="shared" si="1144"/>
        <v>0</v>
      </c>
      <c r="O408" s="96">
        <f t="shared" si="1144"/>
        <v>0</v>
      </c>
      <c r="P408" s="96">
        <f t="shared" si="1144"/>
        <v>0</v>
      </c>
      <c r="Q408" s="96">
        <f t="shared" si="1144"/>
        <v>0</v>
      </c>
      <c r="R408" s="96">
        <f t="shared" si="1144"/>
        <v>0</v>
      </c>
      <c r="S408" s="96">
        <f t="shared" si="1144"/>
        <v>0</v>
      </c>
      <c r="T408" s="96">
        <f t="shared" si="1144"/>
        <v>0</v>
      </c>
      <c r="U408" s="96">
        <f t="shared" si="1144"/>
        <v>0</v>
      </c>
      <c r="V408" s="96">
        <f t="shared" si="1144"/>
        <v>0</v>
      </c>
      <c r="W408" s="96">
        <f t="shared" si="1144"/>
        <v>0</v>
      </c>
      <c r="X408" s="96">
        <f t="shared" si="1144"/>
        <v>0</v>
      </c>
      <c r="Y408" s="96">
        <f t="shared" si="1144"/>
        <v>0</v>
      </c>
      <c r="Z408" s="96">
        <f t="shared" si="1144"/>
        <v>0</v>
      </c>
      <c r="AA408" s="96">
        <f t="shared" si="1144"/>
        <v>0</v>
      </c>
    </row>
    <row r="409" spans="1:27">
      <c r="A409" s="98" t="s">
        <v>35</v>
      </c>
      <c r="B409" s="95"/>
      <c r="C409" s="95">
        <f t="shared" ref="C409:AA409" si="1145">C407+C408</f>
        <v>23259.160792768365</v>
      </c>
      <c r="D409" s="95">
        <f t="shared" si="1145"/>
        <v>27246.821494768825</v>
      </c>
      <c r="E409" s="95">
        <f t="shared" si="1145"/>
        <v>31389.157346753345</v>
      </c>
      <c r="F409" s="95">
        <f t="shared" si="1145"/>
        <v>35692.974055321232</v>
      </c>
      <c r="G409" s="95">
        <f t="shared" si="1145"/>
        <v>40165.376778162143</v>
      </c>
      <c r="H409" s="95">
        <f t="shared" si="1145"/>
        <v>44813.783299904098</v>
      </c>
      <c r="I409" s="95">
        <f t="shared" si="1145"/>
        <v>49645.937787698756</v>
      </c>
      <c r="J409" s="95">
        <f t="shared" si="1145"/>
        <v>54669.925152052412</v>
      </c>
      <c r="K409" s="95">
        <f t="shared" si="1145"/>
        <v>59894.186039533684</v>
      </c>
      <c r="L409" s="95">
        <f t="shared" si="1145"/>
        <v>65327.532485160191</v>
      </c>
      <c r="M409" s="95">
        <f t="shared" si="1145"/>
        <v>70979.164253490293</v>
      </c>
      <c r="N409" s="95">
        <f t="shared" si="1145"/>
        <v>76858.685898722964</v>
      </c>
      <c r="O409" s="95">
        <f t="shared" si="1145"/>
        <v>82976.124575441921</v>
      </c>
      <c r="P409" s="95">
        <f t="shared" si="1145"/>
        <v>89341.948633032545</v>
      </c>
      <c r="Q409" s="95">
        <f t="shared" si="1145"/>
        <v>95967.087028253227</v>
      </c>
      <c r="R409" s="95">
        <f t="shared" si="1145"/>
        <v>145328.48631512347</v>
      </c>
      <c r="S409" s="95">
        <f t="shared" si="1145"/>
        <v>152034.66852654825</v>
      </c>
      <c r="T409" s="95">
        <f t="shared" si="1145"/>
        <v>159035.92275527568</v>
      </c>
      <c r="U409" s="95">
        <f t="shared" si="1145"/>
        <v>166345.23217006715</v>
      </c>
      <c r="V409" s="95">
        <f t="shared" si="1145"/>
        <v>173976.15119910944</v>
      </c>
      <c r="W409" s="95">
        <f t="shared" si="1145"/>
        <v>181942.83066542959</v>
      </c>
      <c r="X409" s="95">
        <f t="shared" si="1145"/>
        <v>190260.04402826782</v>
      </c>
      <c r="Y409" s="95">
        <f t="shared" si="1145"/>
        <v>198943.21477907096</v>
      </c>
      <c r="Z409" s="95">
        <f t="shared" si="1145"/>
        <v>208008.44504290941</v>
      </c>
      <c r="AA409" s="95">
        <f t="shared" si="1145"/>
        <v>217472.54543835676</v>
      </c>
    </row>
    <row r="410" spans="1:27">
      <c r="A410" s="97" t="s">
        <v>100</v>
      </c>
      <c r="B410" s="96"/>
      <c r="C410" s="96">
        <f>-C409*B374</f>
        <v>-4651.8321585536733</v>
      </c>
      <c r="D410" s="96">
        <f>-D409*B374</f>
        <v>-5449.3642989537657</v>
      </c>
      <c r="E410" s="96">
        <f>-E409*B374</f>
        <v>-6277.8314693506691</v>
      </c>
      <c r="F410" s="96">
        <f>-F409*B374</f>
        <v>-7138.5948110642466</v>
      </c>
      <c r="G410" s="96">
        <f>-G409*B374</f>
        <v>-8033.0753556324289</v>
      </c>
      <c r="H410" s="96">
        <f>-H409*B374</f>
        <v>-8962.7566599808197</v>
      </c>
      <c r="I410" s="96">
        <f>-I409*B374</f>
        <v>-9929.1875575397517</v>
      </c>
      <c r="J410" s="96">
        <f>-J409*B374</f>
        <v>-10933.985030410484</v>
      </c>
      <c r="K410" s="96">
        <f>-K409*B374</f>
        <v>-11978.837207906738</v>
      </c>
      <c r="L410" s="96">
        <f>-L409*B374</f>
        <v>-13065.506497032038</v>
      </c>
      <c r="M410" s="96">
        <f>-M409*B374</f>
        <v>-14195.83285069806</v>
      </c>
      <c r="N410" s="96">
        <f>-N409*B374</f>
        <v>-15371.737179744594</v>
      </c>
      <c r="O410" s="96">
        <f>-O409*B374</f>
        <v>-16595.224915088384</v>
      </c>
      <c r="P410" s="96">
        <f>-P409*B374</f>
        <v>-17868.389726606511</v>
      </c>
      <c r="Q410" s="96">
        <f>-Q409*B374</f>
        <v>-19193.417405650645</v>
      </c>
      <c r="R410" s="96">
        <f>-R409*B374</f>
        <v>-29065.697263024696</v>
      </c>
      <c r="S410" s="96">
        <f>-S409*B374</f>
        <v>-30406.933705309653</v>
      </c>
      <c r="T410" s="96">
        <f>-T409*B374</f>
        <v>-31807.184551055136</v>
      </c>
      <c r="U410" s="96">
        <f>-U409*B374</f>
        <v>-33269.046434013428</v>
      </c>
      <c r="V410" s="96">
        <f>-V409*B374</f>
        <v>-34795.230239821889</v>
      </c>
      <c r="W410" s="96">
        <f>-W409*B374</f>
        <v>-36388.566133085922</v>
      </c>
      <c r="X410" s="96">
        <f>-X409*B374</f>
        <v>-38052.008805653568</v>
      </c>
      <c r="Y410" s="96">
        <f>-Y409*B374</f>
        <v>-39788.642955814197</v>
      </c>
      <c r="Z410" s="96">
        <f>-Z409*B374</f>
        <v>-41601.689008581889</v>
      </c>
      <c r="AA410" s="96">
        <f>-AA409*B374</f>
        <v>-43494.509087671351</v>
      </c>
    </row>
    <row r="411" spans="1:27" ht="16.5" thickBot="1">
      <c r="A411" s="99" t="s">
        <v>36</v>
      </c>
      <c r="B411" s="100"/>
      <c r="C411" s="100">
        <f t="shared" ref="C411:AA411" si="1146">C409+C410</f>
        <v>18607.328634214693</v>
      </c>
      <c r="D411" s="100">
        <f t="shared" si="1146"/>
        <v>21797.457195815059</v>
      </c>
      <c r="E411" s="100">
        <f t="shared" si="1146"/>
        <v>25111.325877402676</v>
      </c>
      <c r="F411" s="100">
        <f t="shared" si="1146"/>
        <v>28554.379244256987</v>
      </c>
      <c r="G411" s="100">
        <f t="shared" si="1146"/>
        <v>32132.301422529716</v>
      </c>
      <c r="H411" s="100">
        <f t="shared" si="1146"/>
        <v>35851.026639923279</v>
      </c>
      <c r="I411" s="100">
        <f t="shared" si="1146"/>
        <v>39716.750230159007</v>
      </c>
      <c r="J411" s="100">
        <f t="shared" si="1146"/>
        <v>43735.940121641928</v>
      </c>
      <c r="K411" s="100">
        <f t="shared" si="1146"/>
        <v>47915.34883162695</v>
      </c>
      <c r="L411" s="100">
        <f t="shared" si="1146"/>
        <v>52262.025988128153</v>
      </c>
      <c r="M411" s="100">
        <f t="shared" si="1146"/>
        <v>56783.331402792232</v>
      </c>
      <c r="N411" s="100">
        <f t="shared" si="1146"/>
        <v>61486.948718978369</v>
      </c>
      <c r="O411" s="100">
        <f t="shared" si="1146"/>
        <v>66380.899660353534</v>
      </c>
      <c r="P411" s="100">
        <f t="shared" si="1146"/>
        <v>71473.558906426042</v>
      </c>
      <c r="Q411" s="100">
        <f t="shared" si="1146"/>
        <v>76773.669622602582</v>
      </c>
      <c r="R411" s="100">
        <f t="shared" si="1146"/>
        <v>116262.78905209879</v>
      </c>
      <c r="S411" s="100">
        <f t="shared" si="1146"/>
        <v>121627.7348212386</v>
      </c>
      <c r="T411" s="100">
        <f t="shared" si="1146"/>
        <v>127228.73820422054</v>
      </c>
      <c r="U411" s="100">
        <f t="shared" si="1146"/>
        <v>133076.18573605371</v>
      </c>
      <c r="V411" s="100">
        <f t="shared" si="1146"/>
        <v>139180.92095928756</v>
      </c>
      <c r="W411" s="100">
        <f t="shared" si="1146"/>
        <v>145554.26453234366</v>
      </c>
      <c r="X411" s="100">
        <f t="shared" si="1146"/>
        <v>152208.03522261424</v>
      </c>
      <c r="Y411" s="100">
        <f t="shared" si="1146"/>
        <v>159154.57182325676</v>
      </c>
      <c r="Z411" s="100">
        <f t="shared" si="1146"/>
        <v>166406.75603432753</v>
      </c>
      <c r="AA411" s="100">
        <f t="shared" si="1146"/>
        <v>173978.0363506854</v>
      </c>
    </row>
    <row r="412" spans="1:27" s="487" customFormat="1" ht="16.5" thickBot="1">
      <c r="A412" s="485"/>
      <c r="B412" s="486"/>
      <c r="C412" s="486">
        <v>1</v>
      </c>
      <c r="D412" s="486">
        <f t="shared" ref="D412" si="1147">+C412+1</f>
        <v>2</v>
      </c>
      <c r="E412" s="486">
        <f t="shared" ref="E412" si="1148">+D412+1</f>
        <v>3</v>
      </c>
      <c r="F412" s="486">
        <f t="shared" ref="F412" si="1149">+E412+1</f>
        <v>4</v>
      </c>
      <c r="G412" s="486">
        <f t="shared" ref="G412" si="1150">+F412+1</f>
        <v>5</v>
      </c>
      <c r="H412" s="486">
        <f t="shared" ref="H412" si="1151">+G412+1</f>
        <v>6</v>
      </c>
      <c r="I412" s="486">
        <f t="shared" ref="I412" si="1152">+H412+1</f>
        <v>7</v>
      </c>
      <c r="J412" s="486">
        <f t="shared" ref="J412" si="1153">+I412+1</f>
        <v>8</v>
      </c>
      <c r="K412" s="486">
        <f t="shared" ref="K412" si="1154">+J412+1</f>
        <v>9</v>
      </c>
      <c r="L412" s="486">
        <f t="shared" ref="L412" si="1155">+K412+1</f>
        <v>10</v>
      </c>
      <c r="M412" s="486">
        <f t="shared" ref="M412" si="1156">+L412+1</f>
        <v>11</v>
      </c>
      <c r="N412" s="486">
        <f t="shared" ref="N412" si="1157">+M412+1</f>
        <v>12</v>
      </c>
      <c r="O412" s="486">
        <f>+N412+1</f>
        <v>13</v>
      </c>
      <c r="P412" s="486">
        <f>+O412+1</f>
        <v>14</v>
      </c>
      <c r="Q412" s="486">
        <f>+P412+1</f>
        <v>15</v>
      </c>
      <c r="R412" s="486">
        <f t="shared" ref="R412" si="1158">+Q412+1</f>
        <v>16</v>
      </c>
      <c r="S412" s="486">
        <f t="shared" ref="S412" si="1159">+R412+1</f>
        <v>17</v>
      </c>
      <c r="T412" s="486">
        <f t="shared" ref="T412" si="1160">+S412+1</f>
        <v>18</v>
      </c>
      <c r="U412" s="486">
        <f t="shared" ref="U412" si="1161">+T412+1</f>
        <v>19</v>
      </c>
      <c r="V412" s="486">
        <f t="shared" ref="V412" si="1162">+U412+1</f>
        <v>20</v>
      </c>
      <c r="W412" s="486">
        <f t="shared" ref="W412" si="1163">+V412+1</f>
        <v>21</v>
      </c>
      <c r="X412" s="486">
        <f t="shared" ref="X412" si="1164">+W412+1</f>
        <v>22</v>
      </c>
      <c r="Y412" s="486">
        <f t="shared" ref="Y412" si="1165">+X412+1</f>
        <v>23</v>
      </c>
      <c r="Z412" s="486">
        <f t="shared" ref="Z412" si="1166">+Y412+1</f>
        <v>24</v>
      </c>
      <c r="AA412" s="486">
        <f t="shared" ref="AA412" si="1167">+Z412+1</f>
        <v>25</v>
      </c>
    </row>
    <row r="413" spans="1:27" ht="47.25">
      <c r="A413" s="88" t="s">
        <v>37</v>
      </c>
      <c r="B413" s="78" t="str">
        <f>B396</f>
        <v>год окончания 
строительства объекта 2016</v>
      </c>
      <c r="C413" s="79">
        <f>C396</f>
        <v>2017</v>
      </c>
      <c r="D413" s="80">
        <f t="shared" ref="D413" si="1168">C413+1</f>
        <v>2018</v>
      </c>
      <c r="E413" s="80">
        <f t="shared" ref="E413" si="1169">D413+1</f>
        <v>2019</v>
      </c>
      <c r="F413" s="80">
        <f t="shared" ref="F413" si="1170">E413+1</f>
        <v>2020</v>
      </c>
      <c r="G413" s="80">
        <f t="shared" ref="G413" si="1171">F413+1</f>
        <v>2021</v>
      </c>
      <c r="H413" s="80">
        <f t="shared" ref="H413" si="1172">G413+1</f>
        <v>2022</v>
      </c>
      <c r="I413" s="80">
        <f t="shared" ref="I413" si="1173">H413+1</f>
        <v>2023</v>
      </c>
      <c r="J413" s="80">
        <f t="shared" ref="J413" si="1174">I413+1</f>
        <v>2024</v>
      </c>
      <c r="K413" s="80">
        <f t="shared" ref="K413" si="1175">J413+1</f>
        <v>2025</v>
      </c>
      <c r="L413" s="80">
        <f t="shared" ref="L413" si="1176">K413+1</f>
        <v>2026</v>
      </c>
      <c r="M413" s="80">
        <f t="shared" ref="M413" si="1177">L413+1</f>
        <v>2027</v>
      </c>
      <c r="N413" s="80">
        <f t="shared" ref="N413" si="1178">M413+1</f>
        <v>2028</v>
      </c>
      <c r="O413" s="80">
        <f t="shared" ref="O413" si="1179">N413+1</f>
        <v>2029</v>
      </c>
      <c r="P413" s="80">
        <f t="shared" ref="P413" si="1180">O413+1</f>
        <v>2030</v>
      </c>
      <c r="Q413" s="80">
        <f t="shared" ref="Q413" si="1181">P413+1</f>
        <v>2031</v>
      </c>
      <c r="R413" s="80">
        <f t="shared" ref="R413" si="1182">Q413+1</f>
        <v>2032</v>
      </c>
      <c r="S413" s="80">
        <f t="shared" ref="S413" si="1183">R413+1</f>
        <v>2033</v>
      </c>
      <c r="T413" s="80">
        <f t="shared" ref="T413" si="1184">S413+1</f>
        <v>2034</v>
      </c>
      <c r="U413" s="80">
        <f t="shared" ref="U413" si="1185">T413+1</f>
        <v>2035</v>
      </c>
      <c r="V413" s="80">
        <f t="shared" ref="V413" si="1186">U413+1</f>
        <v>2036</v>
      </c>
      <c r="W413" s="80">
        <f t="shared" ref="W413" si="1187">V413+1</f>
        <v>2037</v>
      </c>
      <c r="X413" s="80">
        <f t="shared" ref="X413" si="1188">W413+1</f>
        <v>2038</v>
      </c>
      <c r="Y413" s="80">
        <f t="shared" ref="Y413" si="1189">X413+1</f>
        <v>2039</v>
      </c>
      <c r="Z413" s="80">
        <f t="shared" ref="Z413" si="1190">Y413+1</f>
        <v>2040</v>
      </c>
      <c r="AA413" s="80">
        <f t="shared" ref="AA413" si="1191">Z413+1</f>
        <v>2041</v>
      </c>
    </row>
    <row r="414" spans="1:27">
      <c r="A414" s="94" t="s">
        <v>34</v>
      </c>
      <c r="B414" s="95">
        <f t="shared" ref="B414" si="1192">B407</f>
        <v>0</v>
      </c>
      <c r="C414" s="95">
        <f>C407</f>
        <v>23259.160792768365</v>
      </c>
      <c r="D414" s="95">
        <f t="shared" ref="D414:AA414" si="1193">D407</f>
        <v>27246.821494768825</v>
      </c>
      <c r="E414" s="95">
        <f t="shared" si="1193"/>
        <v>31389.157346753345</v>
      </c>
      <c r="F414" s="95">
        <f t="shared" si="1193"/>
        <v>35692.974055321232</v>
      </c>
      <c r="G414" s="95">
        <f t="shared" si="1193"/>
        <v>40165.376778162143</v>
      </c>
      <c r="H414" s="95">
        <f t="shared" si="1193"/>
        <v>44813.783299904098</v>
      </c>
      <c r="I414" s="95">
        <f t="shared" si="1193"/>
        <v>49645.937787698756</v>
      </c>
      <c r="J414" s="95">
        <f t="shared" si="1193"/>
        <v>54669.925152052412</v>
      </c>
      <c r="K414" s="95">
        <f t="shared" si="1193"/>
        <v>59894.186039533684</v>
      </c>
      <c r="L414" s="95">
        <f t="shared" si="1193"/>
        <v>65327.532485160191</v>
      </c>
      <c r="M414" s="95">
        <f t="shared" si="1193"/>
        <v>70979.164253490293</v>
      </c>
      <c r="N414" s="95">
        <f t="shared" si="1193"/>
        <v>76858.685898722964</v>
      </c>
      <c r="O414" s="95">
        <f t="shared" si="1193"/>
        <v>82976.124575441921</v>
      </c>
      <c r="P414" s="95">
        <f t="shared" si="1193"/>
        <v>89341.948633032545</v>
      </c>
      <c r="Q414" s="95">
        <f t="shared" si="1193"/>
        <v>95967.087028253227</v>
      </c>
      <c r="R414" s="95">
        <f t="shared" si="1193"/>
        <v>145328.48631512347</v>
      </c>
      <c r="S414" s="95">
        <f t="shared" si="1193"/>
        <v>152034.66852654825</v>
      </c>
      <c r="T414" s="95">
        <f t="shared" si="1193"/>
        <v>159035.92275527568</v>
      </c>
      <c r="U414" s="95">
        <f t="shared" si="1193"/>
        <v>166345.23217006715</v>
      </c>
      <c r="V414" s="95">
        <f t="shared" si="1193"/>
        <v>173976.15119910944</v>
      </c>
      <c r="W414" s="95">
        <f t="shared" si="1193"/>
        <v>181942.83066542959</v>
      </c>
      <c r="X414" s="95">
        <f t="shared" si="1193"/>
        <v>190260.04402826782</v>
      </c>
      <c r="Y414" s="95">
        <f t="shared" si="1193"/>
        <v>198943.21477907096</v>
      </c>
      <c r="Z414" s="95">
        <f t="shared" si="1193"/>
        <v>208008.44504290941</v>
      </c>
      <c r="AA414" s="95">
        <f t="shared" si="1193"/>
        <v>217472.54543835676</v>
      </c>
    </row>
    <row r="415" spans="1:27">
      <c r="A415" s="97" t="s">
        <v>278</v>
      </c>
      <c r="B415" s="96">
        <f t="shared" ref="B415" si="1194">-B406</f>
        <v>0</v>
      </c>
      <c r="C415" s="96">
        <f>-C406</f>
        <v>42937.853107344636</v>
      </c>
      <c r="D415" s="96">
        <f t="shared" ref="D415:AA415" si="1195">-D406</f>
        <v>42937.853107344636</v>
      </c>
      <c r="E415" s="96">
        <f t="shared" si="1195"/>
        <v>42937.853107344636</v>
      </c>
      <c r="F415" s="96">
        <f t="shared" si="1195"/>
        <v>42937.853107344636</v>
      </c>
      <c r="G415" s="96">
        <f t="shared" si="1195"/>
        <v>42937.853107344636</v>
      </c>
      <c r="H415" s="96">
        <f t="shared" si="1195"/>
        <v>42937.853107344636</v>
      </c>
      <c r="I415" s="96">
        <f t="shared" si="1195"/>
        <v>42937.853107344636</v>
      </c>
      <c r="J415" s="96">
        <f t="shared" si="1195"/>
        <v>42937.853107344636</v>
      </c>
      <c r="K415" s="96">
        <f t="shared" si="1195"/>
        <v>42937.853107344636</v>
      </c>
      <c r="L415" s="96">
        <f t="shared" si="1195"/>
        <v>42937.853107344636</v>
      </c>
      <c r="M415" s="96">
        <f t="shared" si="1195"/>
        <v>42937.853107344636</v>
      </c>
      <c r="N415" s="96">
        <f t="shared" si="1195"/>
        <v>42937.853107344636</v>
      </c>
      <c r="O415" s="96">
        <f t="shared" si="1195"/>
        <v>42937.853107344636</v>
      </c>
      <c r="P415" s="96">
        <f t="shared" si="1195"/>
        <v>42937.853107344636</v>
      </c>
      <c r="Q415" s="96">
        <f t="shared" si="1195"/>
        <v>42937.853107344636</v>
      </c>
      <c r="R415" s="96">
        <f t="shared" si="1195"/>
        <v>0</v>
      </c>
      <c r="S415" s="96">
        <f t="shared" si="1195"/>
        <v>0</v>
      </c>
      <c r="T415" s="96">
        <f t="shared" si="1195"/>
        <v>0</v>
      </c>
      <c r="U415" s="96">
        <f t="shared" si="1195"/>
        <v>0</v>
      </c>
      <c r="V415" s="96">
        <f t="shared" si="1195"/>
        <v>0</v>
      </c>
      <c r="W415" s="96">
        <f t="shared" si="1195"/>
        <v>0</v>
      </c>
      <c r="X415" s="96">
        <f t="shared" si="1195"/>
        <v>0</v>
      </c>
      <c r="Y415" s="96">
        <f t="shared" si="1195"/>
        <v>0</v>
      </c>
      <c r="Z415" s="96">
        <f t="shared" si="1195"/>
        <v>0</v>
      </c>
      <c r="AA415" s="96">
        <f t="shared" si="1195"/>
        <v>0</v>
      </c>
    </row>
    <row r="416" spans="1:27">
      <c r="A416" s="97" t="s">
        <v>62</v>
      </c>
      <c r="B416" s="96">
        <f t="shared" ref="B416:AA416" si="1196">B408</f>
        <v>0</v>
      </c>
      <c r="C416" s="96">
        <f t="shared" si="1196"/>
        <v>0</v>
      </c>
      <c r="D416" s="96">
        <f t="shared" si="1196"/>
        <v>0</v>
      </c>
      <c r="E416" s="96">
        <f t="shared" si="1196"/>
        <v>0</v>
      </c>
      <c r="F416" s="96">
        <f t="shared" si="1196"/>
        <v>0</v>
      </c>
      <c r="G416" s="96">
        <f t="shared" si="1196"/>
        <v>0</v>
      </c>
      <c r="H416" s="96">
        <f t="shared" si="1196"/>
        <v>0</v>
      </c>
      <c r="I416" s="96">
        <f t="shared" si="1196"/>
        <v>0</v>
      </c>
      <c r="J416" s="96">
        <f t="shared" si="1196"/>
        <v>0</v>
      </c>
      <c r="K416" s="96">
        <f t="shared" si="1196"/>
        <v>0</v>
      </c>
      <c r="L416" s="96">
        <f t="shared" si="1196"/>
        <v>0</v>
      </c>
      <c r="M416" s="96">
        <f t="shared" si="1196"/>
        <v>0</v>
      </c>
      <c r="N416" s="96">
        <f t="shared" si="1196"/>
        <v>0</v>
      </c>
      <c r="O416" s="96">
        <f t="shared" si="1196"/>
        <v>0</v>
      </c>
      <c r="P416" s="96">
        <f t="shared" si="1196"/>
        <v>0</v>
      </c>
      <c r="Q416" s="96">
        <f t="shared" si="1196"/>
        <v>0</v>
      </c>
      <c r="R416" s="96">
        <f t="shared" si="1196"/>
        <v>0</v>
      </c>
      <c r="S416" s="96">
        <f t="shared" si="1196"/>
        <v>0</v>
      </c>
      <c r="T416" s="96">
        <f t="shared" si="1196"/>
        <v>0</v>
      </c>
      <c r="U416" s="96">
        <f t="shared" si="1196"/>
        <v>0</v>
      </c>
      <c r="V416" s="96">
        <f t="shared" si="1196"/>
        <v>0</v>
      </c>
      <c r="W416" s="96">
        <f t="shared" si="1196"/>
        <v>0</v>
      </c>
      <c r="X416" s="96">
        <f t="shared" si="1196"/>
        <v>0</v>
      </c>
      <c r="Y416" s="96">
        <f t="shared" si="1196"/>
        <v>0</v>
      </c>
      <c r="Z416" s="96">
        <f t="shared" si="1196"/>
        <v>0</v>
      </c>
      <c r="AA416" s="96">
        <f t="shared" si="1196"/>
        <v>0</v>
      </c>
    </row>
    <row r="417" spans="1:27">
      <c r="A417" s="97" t="s">
        <v>100</v>
      </c>
      <c r="B417" s="96">
        <f>IF(SUM(B410:B410)+SUM(A417:A417)&gt;0,0,SUM(B410:B410)-SUM(A417:A417))</f>
        <v>0</v>
      </c>
      <c r="C417" s="96">
        <f>IF(SUM(B410:C410)+SUM(A417:B417)&gt;0,0,SUM(B410:C410)-SUM(A417:B417))</f>
        <v>-4651.8321585536733</v>
      </c>
      <c r="D417" s="96">
        <f>IF(SUM(B410:D410)+SUM(A417:C417)&gt;0,0,SUM(B410:D410)-SUM(A417:C417))</f>
        <v>-5449.3642989537648</v>
      </c>
      <c r="E417" s="96">
        <f>IF(SUM(B410:E410)+SUM(A417:D417)&gt;0,0,SUM(B410:E410)-SUM(A417:D417))</f>
        <v>-6277.8314693506691</v>
      </c>
      <c r="F417" s="96">
        <f>IF(SUM(B410:F410)+SUM(A417:E417)&gt;0,0,SUM(B410:F410)-SUM(A417:E417))</f>
        <v>-7138.5948110642457</v>
      </c>
      <c r="G417" s="96">
        <f>IF(SUM(B410:G410)+SUM(A417:F417)&gt;0,0,SUM(B410:G410)-SUM(A417:F417))</f>
        <v>-8033.0753556324307</v>
      </c>
      <c r="H417" s="96">
        <f>IF(SUM(B410:H410)+SUM(A417:G417)&gt;0,0,SUM(B410:H410)-SUM(A417:G417))</f>
        <v>-8962.7566599808197</v>
      </c>
      <c r="I417" s="96">
        <f>IF(SUM(B410:I410)+SUM(A417:H417)&gt;0,0,SUM(B410:I410)-SUM(A417:H417))</f>
        <v>-9929.1875575397498</v>
      </c>
      <c r="J417" s="96">
        <f>IF(SUM(B410:J410)+SUM(A417:I417)&gt;0,0,SUM(B410:J410)-SUM(A417:I417))</f>
        <v>-10933.985030410484</v>
      </c>
      <c r="K417" s="96">
        <f>IF(SUM(B410:K410)+SUM(A417:J417)&gt;0,0,SUM(B410:K410)-SUM(A417:J417))</f>
        <v>-11978.837207906741</v>
      </c>
      <c r="L417" s="96">
        <f>IF(SUM(B410:L410)+SUM(A417:K417)&gt;0,0,SUM(B410:L410)-SUM(A417:K417))</f>
        <v>-13065.506497032038</v>
      </c>
      <c r="M417" s="96">
        <f>IF(SUM(B410:M410)+SUM(A417:L417)&gt;0,0,SUM(B410:M410)-SUM(A417:L417))</f>
        <v>-14195.832850698062</v>
      </c>
      <c r="N417" s="96">
        <f>IF(SUM(B410:N410)+SUM(A417:M417)&gt;0,0,SUM(B410:N410)-SUM(A417:M417))</f>
        <v>-15371.737179744596</v>
      </c>
      <c r="O417" s="96">
        <f>IF(SUM(B410:O410)+SUM(A417:N417)&gt;0,0,SUM(B410:O410)-SUM(A417:N417))</f>
        <v>-16595.224915088373</v>
      </c>
      <c r="P417" s="96">
        <f>IF(SUM(B410:P410)+SUM(A417:O417)&gt;0,0,SUM(B410:P410)-SUM(A417:O417))</f>
        <v>-17868.389726606518</v>
      </c>
      <c r="Q417" s="96">
        <f>IF(SUM(B410:Q410)+SUM(A417:P417)&gt;0,0,SUM(B410:Q410)-SUM(A417:P417))</f>
        <v>-19193.417405650631</v>
      </c>
      <c r="R417" s="96">
        <f>IF(SUM(B410:R410)+SUM(A417:Q417)&gt;0,0,SUM(B410:R410)-SUM(A417:Q417))</f>
        <v>-29065.697263024689</v>
      </c>
      <c r="S417" s="96">
        <f>IF(SUM(B410:S410)+SUM(A417:R417)&gt;0,0,SUM(B410:S410)-SUM(A417:R417))</f>
        <v>-30406.933705309639</v>
      </c>
      <c r="T417" s="96">
        <f>IF(SUM(B410:T410)+SUM(A417:S417)&gt;0,0,SUM(B410:T410)-SUM(A417:S417))</f>
        <v>-31807.184551055136</v>
      </c>
      <c r="U417" s="96">
        <f>IF(SUM(B410:U410)+SUM(A417:T417)&gt;0,0,SUM(B410:U410)-SUM(A417:T417))</f>
        <v>-33269.046434013406</v>
      </c>
      <c r="V417" s="96">
        <f>IF(SUM(B410:V410)+SUM(A417:U417)&gt;0,0,SUM(B410:V410)-SUM(A417:U417))</f>
        <v>-34795.230239821889</v>
      </c>
      <c r="W417" s="96">
        <f>IF(SUM(B410:W410)+SUM(A417:V417)&gt;0,0,SUM(B410:W410)-SUM(A417:V417))</f>
        <v>-36388.566133085929</v>
      </c>
      <c r="X417" s="96">
        <f>IF(SUM(B410:X410)+SUM(A417:W417)&gt;0,0,SUM(B410:X410)-SUM(A417:W417))</f>
        <v>-38052.008805653546</v>
      </c>
      <c r="Y417" s="96">
        <f>IF(SUM(B410:Y410)+SUM(A417:X417)&gt;0,0,SUM(B410:Y410)-SUM(A417:X417))</f>
        <v>-39788.642955814197</v>
      </c>
      <c r="Z417" s="96">
        <f>IF(SUM(B410:Z410)+SUM(A417:Y417)&gt;0,0,SUM(B410:Z410)-SUM(A417:Y417))</f>
        <v>-41601.68900858186</v>
      </c>
      <c r="AA417" s="96">
        <f>IF(SUM(B410:AA410)+SUM(A417:Z417)&gt;0,0,SUM(B410:AA410)-SUM(A417:Z417))</f>
        <v>-43494.509087671409</v>
      </c>
    </row>
    <row r="418" spans="1:27">
      <c r="A418" s="97" t="s">
        <v>38</v>
      </c>
      <c r="B418" s="101">
        <f>IF(((SUM(B397:B397)+SUM(B399:B403))+SUM(B420:B420))&lt;0,((SUM(B397:B397)+SUM(B399:B403))+SUM(B420:B420))*0.18-SUM(A418:A418),IF(SUM(A418:B418)&lt;0,0-SUM(A418:B418),0))</f>
        <v>-115932.20338983052</v>
      </c>
      <c r="C418" s="101">
        <f>IF(((SUM(B397:C397)+SUM(B399:C403))+SUM(B420:C420))&lt;0,((SUM(B397:C397)+SUM(B399:C403))+SUM(B420:C420))*0.18-SUM(A418:B418),IF(SUM(B418:B418)&lt;0,0-SUM(B418:B418),0))</f>
        <v>14380.954027444081</v>
      </c>
      <c r="D418" s="101">
        <f>IF(((SUM(B397:D397)+SUM(B399:D403))+SUM(B420:D420))&lt;0,((SUM(B397:D397)+SUM(B399:D403))+SUM(B420:D420))*0.18-SUM(A418:C418),IF(SUM(B418:C418)&lt;0,0-SUM(B418:C418),0))</f>
        <v>15013.716004651593</v>
      </c>
      <c r="E418" s="101">
        <f>IF(((SUM(B397:E397)+SUM(B399:E403))+SUM(B420:E420))&lt;0,((SUM(B397:E397)+SUM(B399:E403))+SUM(B420:E420))*0.18-SUM(A418:D418),IF(SUM(B418:D418)&lt;0,0-SUM(B418:D418),0))</f>
        <v>15674.319508856279</v>
      </c>
      <c r="F418" s="101">
        <f>IF(((SUM(B397:F397)+SUM(B399:F403))+SUM(B420:F420))&lt;0,((SUM(B397:F397)+SUM(B399:F403))+SUM(B420:F420))*0.18-SUM(A418:E418),IF(SUM(B418:E418)&lt;0,0-SUM(B418:E418),0))</f>
        <v>16363.989567245968</v>
      </c>
      <c r="G418" s="101">
        <f>IF(((SUM(B397:G397)+SUM(B399:G403))+SUM(B420:G420))&lt;0,((SUM(B397:G397)+SUM(B399:G403))+SUM(B420:G420))*0.18-SUM(A418:F418),IF(SUM(B418:F418)&lt;0,0-SUM(B418:F418),0))</f>
        <v>17084.005108204779</v>
      </c>
      <c r="H418" s="101">
        <f>IF(((SUM(B397:H397)+SUM(B399:H403))+SUM(B420:H420))&lt;0,((SUM(B397:H397)+SUM(B399:H403))+SUM(B420:H420))*0.18-SUM(A418:G418),IF(SUM(B418:G418)&lt;0,0-SUM(B418:G418),0))</f>
        <v>17835.701332965789</v>
      </c>
      <c r="I418" s="101">
        <f>IF(((SUM(B397:I397)+SUM(B399:I403))+SUM(B420:I420))&lt;0,((SUM(B397:I397)+SUM(B399:I403))+SUM(B420:I420))*0.18-SUM(A418:H418),IF(SUM(B418:H418)&lt;0,0-SUM(B418:H418),0))</f>
        <v>18620.472191616274</v>
      </c>
      <c r="J418" s="101">
        <f>IF(((SUM(B397:J397)+SUM(B399:J403))+SUM(B420:J420))&lt;0,((SUM(B397:J397)+SUM(B399:J403))+SUM(B420:J420))*0.18-SUM(A418:I418),IF(SUM(B418:I418)&lt;0,0-SUM(B418:I418),0))</f>
        <v>959.0456488457603</v>
      </c>
      <c r="K418" s="101">
        <f>IF(((SUM(B397:K397)+SUM(B399:K403))+SUM(B420:K420))&lt;0,((SUM(B397:K397)+SUM(B399:K403))+SUM(B420:K420))*0.18-SUM(A418:J418),IF(SUM(B418:J418)&lt;0,0-SUM(B418:J418),0))</f>
        <v>0</v>
      </c>
      <c r="L418" s="101">
        <f>IF(((SUM(B397:L397)+SUM(B399:L403))+SUM(B420:L420))&lt;0,((SUM(B397:L397)+SUM(B399:L403))+SUM(B420:L420))*0.18-SUM(A418:K418),IF(SUM(B418:K418)&lt;0,0-SUM(B418:K418),0))</f>
        <v>0</v>
      </c>
      <c r="M418" s="101">
        <f>IF(((SUM(B397:M397)+SUM(B399:M403))+SUM(B420:M420))&lt;0,((SUM(B397:M397)+SUM(B399:M403))+SUM(B420:M420))*0.18-SUM(A418:L418),IF(SUM(B418:L418)&lt;0,0-SUM(B418:L418),0))</f>
        <v>0</v>
      </c>
      <c r="N418" s="101">
        <f>IF(((SUM(B397:N397)+SUM(B399:N403))+SUM(B420:N420))&lt;0,((SUM(B397:N397)+SUM(B399:N403))+SUM(B420:N420))*0.18-SUM(A418:M418),IF(SUM(B418:M418)&lt;0,0-SUM(B418:M418),0))</f>
        <v>0</v>
      </c>
      <c r="O418" s="101">
        <f>IF(((SUM(B397:O397)+SUM(B399:O403))+SUM(B420:O420))&lt;0,((SUM(B397:O397)+SUM(B399:O403))+SUM(B420:O420))*0.18-SUM(A418:N418),IF(SUM(B418:N418)&lt;0,0-SUM(B418:N418),0))</f>
        <v>0</v>
      </c>
      <c r="P418" s="101">
        <f>IF(((SUM(B397:P397)+SUM(B399:P403))+SUM(B420:P420))&lt;0,((SUM(B397:P397)+SUM(B399:P403))+SUM(B420:P420))*0.18-SUM(A418:O418),IF(SUM(B418:O418)&lt;0,0-SUM(B418:O418),0))</f>
        <v>0</v>
      </c>
      <c r="Q418" s="101">
        <f>IF(((SUM(B397:Q397)+SUM(B399:Q403))+SUM(B420:Q420))&lt;0,((SUM(B397:Q397)+SUM(B399:Q403))+SUM(B420:Q420))*0.18-SUM(A418:P418),IF(SUM(B418:P418)&lt;0,0-SUM(B418:P418),0))</f>
        <v>0</v>
      </c>
      <c r="R418" s="101">
        <f>IF(((SUM(B397:R397)+SUM(B399:R403))+SUM(B420:R420))&lt;0,((SUM(B397:R397)+SUM(B399:R403))+SUM(B420:R420))*0.18-SUM(A418:Q418),IF(SUM(B418:Q418)&lt;0,0-SUM(B418:Q418),0))</f>
        <v>0</v>
      </c>
      <c r="S418" s="101">
        <f>IF(((SUM(B397:S397)+SUM(B399:S403))+SUM(B420:S420))&lt;0,((SUM(B397:S397)+SUM(B399:S403))+SUM(B420:S420))*0.18-SUM(A418:R418),IF(SUM(B418:R418)&lt;0,0-SUM(B418:R418),0))</f>
        <v>0</v>
      </c>
      <c r="T418" s="101">
        <f>IF(((SUM(B397:T397)+SUM(B399:T403))+SUM(B420:T420))&lt;0,((SUM(B397:T397)+SUM(B399:T403))+SUM(B420:T420))*0.18-SUM(A418:S418),IF(SUM(B418:S418)&lt;0,0-SUM(B418:S418),0))</f>
        <v>0</v>
      </c>
      <c r="U418" s="101">
        <f>IF(((SUM(B397:U397)+SUM(B399:U403))+SUM(B420:U420))&lt;0,((SUM(B397:U397)+SUM(B399:U403))+SUM(B420:U420))*0.18-SUM(A418:T418),IF(SUM(B418:T418)&lt;0,0-SUM(B418:T418),0))</f>
        <v>0</v>
      </c>
      <c r="V418" s="101">
        <f>IF(((SUM(B397:V397)+SUM(B399:V403))+SUM(B420:V420))&lt;0,((SUM(B397:V397)+SUM(B399:V403))+SUM(B420:V420))*0.18-SUM(A418:U418),IF(SUM(B418:U418)&lt;0,0-SUM(B418:U418),0))</f>
        <v>0</v>
      </c>
      <c r="W418" s="101">
        <f>IF(((SUM(B397:W397)+SUM(B399:W403))+SUM(B420:W420))&lt;0,((SUM(B397:W397)+SUM(B399:W403))+SUM(B420:W420))*0.18-SUM(A418:V418),IF(SUM(B418:V418)&lt;0,0-SUM(B418:V418),0))</f>
        <v>0</v>
      </c>
      <c r="X418" s="101">
        <f>IF(((SUM(B397:X397)+SUM(B399:X403))+SUM(B420:X420))&lt;0,((SUM(B397:X397)+SUM(B399:X403))+SUM(B420:X420))*0.18-SUM(A418:W418),IF(SUM(B418:W418)&lt;0,0-SUM(B418:W418),0))</f>
        <v>0</v>
      </c>
      <c r="Y418" s="101">
        <f>IF(((SUM(B397:Y397)+SUM(B399:Y403))+SUM(B420:Y420))&lt;0,((SUM(B397:Y397)+SUM(B399:Y403))+SUM(B420:Y420))*0.18-SUM(A418:X418),IF(SUM(B418:X418)&lt;0,0-SUM(B418:X418),0))</f>
        <v>0</v>
      </c>
      <c r="Z418" s="101">
        <f>IF(((SUM(B397:Z397)+SUM(B399:Z403))+SUM(B420:Z420))&lt;0,((SUM(B397:Z397)+SUM(B399:Z403))+SUM(B420:Z420))*0.18-SUM(A418:Y418),IF(SUM(B418:Y418)&lt;0,0-SUM(B418:Y418),0))</f>
        <v>0</v>
      </c>
      <c r="AA418" s="101">
        <f>IF(((SUM(B397:AA397)+SUM(B399:AA403))+SUM(B420:AA420))&lt;0,((SUM(B397:AA397)+SUM(B399:AA403))+SUM(B420:AA420))*0.18-SUM(A418:Z418),IF(SUM(B418:Z418)&lt;0,0-SUM(B418:Z418),0))</f>
        <v>0</v>
      </c>
    </row>
    <row r="419" spans="1:27">
      <c r="A419" s="97" t="s">
        <v>39</v>
      </c>
      <c r="B419" s="96">
        <f>-B397*(B377)</f>
        <v>0</v>
      </c>
      <c r="C419" s="96">
        <f>-(C397-B397)*B377</f>
        <v>-8308.4745762711882</v>
      </c>
      <c r="D419" s="96">
        <f>-(D397-C397)*B377</f>
        <v>-365.57288135593262</v>
      </c>
      <c r="E419" s="96">
        <f>-(E397-D397)*B377</f>
        <v>-381.6580881355942</v>
      </c>
      <c r="F419" s="96">
        <f>-(F397-E397)*B377</f>
        <v>-398.45104401355934</v>
      </c>
      <c r="G419" s="96">
        <f>-(G397-F397)*B377</f>
        <v>-415.98288995015611</v>
      </c>
      <c r="H419" s="96">
        <f>-(H397-G397)*B377</f>
        <v>-434.28613710796344</v>
      </c>
      <c r="I419" s="96">
        <f>-(I397-H397)*B377</f>
        <v>-453.39472714071309</v>
      </c>
      <c r="J419" s="96">
        <f>-(J397-I397)*B377</f>
        <v>-473.34409513490539</v>
      </c>
      <c r="K419" s="96">
        <f>-(K397-J397)*B377</f>
        <v>-494.17123532084082</v>
      </c>
      <c r="L419" s="96">
        <f>-(L397-K397)*B377</f>
        <v>-515.91476967495839</v>
      </c>
      <c r="M419" s="96">
        <f>-(M397-L397)*B377</f>
        <v>-538.61501954065614</v>
      </c>
      <c r="N419" s="96">
        <f>-(N397-M397)*B377</f>
        <v>-562.31408040044482</v>
      </c>
      <c r="O419" s="96">
        <f>-(O397-N397)*B377</f>
        <v>-587.05589993806495</v>
      </c>
      <c r="P419" s="96">
        <f>-(P397-O397)*B377</f>
        <v>-612.8863595353381</v>
      </c>
      <c r="Q419" s="96">
        <f>-(Q397-P397)*B377</f>
        <v>-639.8533593548957</v>
      </c>
      <c r="R419" s="96">
        <f>-(R397-Q397)*B377</f>
        <v>-668.00690716650865</v>
      </c>
      <c r="S419" s="96">
        <f>-(S397-R397)*B377</f>
        <v>-697.39921108183626</v>
      </c>
      <c r="T419" s="96">
        <f>-(T397-S397)*B377</f>
        <v>-728.08477636943576</v>
      </c>
      <c r="U419" s="96">
        <f>-(U397-T397)*B377</f>
        <v>-760.12050652969344</v>
      </c>
      <c r="V419" s="96">
        <f>-(V397-U397)*B377</f>
        <v>-793.56580881699927</v>
      </c>
      <c r="W419" s="96">
        <f>-(W397-V397)*B377</f>
        <v>-828.48270440494821</v>
      </c>
      <c r="X419" s="96">
        <f>-(X397-W397)*B377</f>
        <v>-864.93594339876438</v>
      </c>
      <c r="Y419" s="96">
        <f>-(Y397-X397)*B377</f>
        <v>-902.99312490831073</v>
      </c>
      <c r="Z419" s="96">
        <f>-(Z397-Y397)*B377</f>
        <v>-942.72482240427644</v>
      </c>
      <c r="AA419" s="96">
        <f>-(AA397-Z397)*B377</f>
        <v>-984.20471459006376</v>
      </c>
    </row>
    <row r="420" spans="1:27">
      <c r="A420" s="97" t="s">
        <v>40</v>
      </c>
      <c r="B420" s="96">
        <f>-(B363+B364)*B366</f>
        <v>-644067.79661016958</v>
      </c>
      <c r="C420" s="96"/>
      <c r="D420" s="96"/>
      <c r="E420" s="96"/>
      <c r="F420" s="96"/>
      <c r="G420" s="96"/>
      <c r="H420" s="96"/>
      <c r="I420" s="96"/>
      <c r="J420" s="96"/>
      <c r="K420" s="96"/>
      <c r="L420" s="96"/>
      <c r="M420" s="96"/>
      <c r="N420" s="96"/>
      <c r="O420" s="96"/>
      <c r="P420" s="96"/>
      <c r="Q420" s="96"/>
      <c r="R420" s="96"/>
      <c r="S420" s="96"/>
      <c r="T420" s="96"/>
      <c r="U420" s="96"/>
      <c r="V420" s="96"/>
      <c r="W420" s="96"/>
      <c r="X420" s="96"/>
      <c r="Y420" s="96"/>
      <c r="Z420" s="96"/>
      <c r="AA420" s="96"/>
    </row>
    <row r="421" spans="1:27">
      <c r="A421" s="97" t="s">
        <v>41</v>
      </c>
      <c r="B421" s="96">
        <f t="shared" ref="B421:AA421" si="1197">B392-B393</f>
        <v>0</v>
      </c>
      <c r="C421" s="96">
        <f t="shared" si="1197"/>
        <v>0</v>
      </c>
      <c r="D421" s="96">
        <f t="shared" si="1197"/>
        <v>0</v>
      </c>
      <c r="E421" s="96">
        <f t="shared" si="1197"/>
        <v>0</v>
      </c>
      <c r="F421" s="96">
        <f t="shared" si="1197"/>
        <v>0</v>
      </c>
      <c r="G421" s="96">
        <f t="shared" si="1197"/>
        <v>0</v>
      </c>
      <c r="H421" s="96">
        <f t="shared" si="1197"/>
        <v>0</v>
      </c>
      <c r="I421" s="96">
        <f t="shared" si="1197"/>
        <v>0</v>
      </c>
      <c r="J421" s="96">
        <f t="shared" si="1197"/>
        <v>0</v>
      </c>
      <c r="K421" s="96">
        <f t="shared" si="1197"/>
        <v>0</v>
      </c>
      <c r="L421" s="96">
        <f t="shared" si="1197"/>
        <v>0</v>
      </c>
      <c r="M421" s="96">
        <f t="shared" si="1197"/>
        <v>0</v>
      </c>
      <c r="N421" s="96">
        <f t="shared" si="1197"/>
        <v>0</v>
      </c>
      <c r="O421" s="96">
        <f t="shared" si="1197"/>
        <v>0</v>
      </c>
      <c r="P421" s="96">
        <f t="shared" si="1197"/>
        <v>0</v>
      </c>
      <c r="Q421" s="96">
        <f t="shared" si="1197"/>
        <v>0</v>
      </c>
      <c r="R421" s="96">
        <f t="shared" si="1197"/>
        <v>0</v>
      </c>
      <c r="S421" s="96">
        <f t="shared" si="1197"/>
        <v>0</v>
      </c>
      <c r="T421" s="96">
        <f t="shared" si="1197"/>
        <v>0</v>
      </c>
      <c r="U421" s="96">
        <f t="shared" si="1197"/>
        <v>0</v>
      </c>
      <c r="V421" s="96">
        <f t="shared" si="1197"/>
        <v>0</v>
      </c>
      <c r="W421" s="96">
        <f t="shared" si="1197"/>
        <v>0</v>
      </c>
      <c r="X421" s="96">
        <f t="shared" si="1197"/>
        <v>0</v>
      </c>
      <c r="Y421" s="96">
        <f t="shared" si="1197"/>
        <v>0</v>
      </c>
      <c r="Z421" s="96">
        <f t="shared" si="1197"/>
        <v>0</v>
      </c>
      <c r="AA421" s="96">
        <f t="shared" si="1197"/>
        <v>0</v>
      </c>
    </row>
    <row r="422" spans="1:27">
      <c r="A422" s="102" t="s">
        <v>42</v>
      </c>
      <c r="B422" s="95">
        <f t="shared" ref="B422:AA422" si="1198">SUM(B414:B421)</f>
        <v>-760000.00000000012</v>
      </c>
      <c r="C422" s="95">
        <f t="shared" si="1198"/>
        <v>67617.661192732223</v>
      </c>
      <c r="D422" s="95">
        <f t="shared" si="1198"/>
        <v>79383.453426455351</v>
      </c>
      <c r="E422" s="95">
        <f t="shared" si="1198"/>
        <v>83341.840405468</v>
      </c>
      <c r="F422" s="95">
        <f t="shared" si="1198"/>
        <v>87457.770874834023</v>
      </c>
      <c r="G422" s="95">
        <f t="shared" si="1198"/>
        <v>91738.176748128957</v>
      </c>
      <c r="H422" s="95">
        <f t="shared" si="1198"/>
        <v>96190.294943125744</v>
      </c>
      <c r="I422" s="95">
        <f t="shared" si="1198"/>
        <v>100821.68080197922</v>
      </c>
      <c r="J422" s="95">
        <f t="shared" si="1198"/>
        <v>87159.494782697409</v>
      </c>
      <c r="K422" s="95">
        <f t="shared" si="1198"/>
        <v>90359.030703650744</v>
      </c>
      <c r="L422" s="95">
        <f t="shared" si="1198"/>
        <v>94683.964325797831</v>
      </c>
      <c r="M422" s="95">
        <f t="shared" si="1198"/>
        <v>99182.569490596215</v>
      </c>
      <c r="N422" s="95">
        <f t="shared" si="1198"/>
        <v>103862.48774592255</v>
      </c>
      <c r="O422" s="95">
        <f t="shared" si="1198"/>
        <v>108731.69686776013</v>
      </c>
      <c r="P422" s="95">
        <f t="shared" si="1198"/>
        <v>113798.52565423533</v>
      </c>
      <c r="Q422" s="95">
        <f t="shared" si="1198"/>
        <v>119071.66937059234</v>
      </c>
      <c r="R422" s="95">
        <f t="shared" si="1198"/>
        <v>115594.78214493228</v>
      </c>
      <c r="S422" s="95">
        <f t="shared" si="1198"/>
        <v>120930.33561015678</v>
      </c>
      <c r="T422" s="95">
        <f t="shared" si="1198"/>
        <v>126500.65342785111</v>
      </c>
      <c r="U422" s="95">
        <f t="shared" si="1198"/>
        <v>132316.06522952404</v>
      </c>
      <c r="V422" s="95">
        <f t="shared" si="1198"/>
        <v>138387.35515047057</v>
      </c>
      <c r="W422" s="95">
        <f t="shared" si="1198"/>
        <v>144725.78182793871</v>
      </c>
      <c r="X422" s="95">
        <f t="shared" si="1198"/>
        <v>151343.0992792155</v>
      </c>
      <c r="Y422" s="95">
        <f t="shared" si="1198"/>
        <v>158251.57869834846</v>
      </c>
      <c r="Z422" s="95">
        <f t="shared" si="1198"/>
        <v>165464.03121192328</v>
      </c>
      <c r="AA422" s="95">
        <f t="shared" si="1198"/>
        <v>172993.83163609527</v>
      </c>
    </row>
    <row r="423" spans="1:27">
      <c r="A423" s="102" t="s">
        <v>43</v>
      </c>
      <c r="B423" s="95">
        <f>SUM(B422:B422)</f>
        <v>-760000.00000000012</v>
      </c>
      <c r="C423" s="95">
        <f>SUM(B422:C422)</f>
        <v>-692382.33880726784</v>
      </c>
      <c r="D423" s="95">
        <f>SUM(B422:D422)</f>
        <v>-612998.88538081245</v>
      </c>
      <c r="E423" s="95">
        <f>SUM(B422:E422)</f>
        <v>-529657.04497534444</v>
      </c>
      <c r="F423" s="95">
        <f>SUM(B422:F422)</f>
        <v>-442199.2741005104</v>
      </c>
      <c r="G423" s="95">
        <f>SUM(B422:G422)</f>
        <v>-350461.09735238145</v>
      </c>
      <c r="H423" s="95">
        <f>SUM(B422:H422)</f>
        <v>-254270.8024092557</v>
      </c>
      <c r="I423" s="95">
        <f>SUM(B422:I422)</f>
        <v>-153449.12160727649</v>
      </c>
      <c r="J423" s="95">
        <f>SUM(B422:J422)</f>
        <v>-66289.626824579085</v>
      </c>
      <c r="K423" s="95">
        <f>SUM(B422:K422)</f>
        <v>24069.403879071659</v>
      </c>
      <c r="L423" s="95">
        <f>SUM(B422:L422)</f>
        <v>118753.36820486949</v>
      </c>
      <c r="M423" s="95">
        <f>SUM(B422:M422)</f>
        <v>217935.93769546569</v>
      </c>
      <c r="N423" s="95">
        <f>SUM(B422:N422)</f>
        <v>321798.42544138827</v>
      </c>
      <c r="O423" s="95">
        <f>SUM(B422:O422)</f>
        <v>430530.12230914843</v>
      </c>
      <c r="P423" s="95">
        <f>SUM(B422:P422)</f>
        <v>544328.6479633837</v>
      </c>
      <c r="Q423" s="95">
        <f>SUM(B422:Q422)</f>
        <v>663400.31733397604</v>
      </c>
      <c r="R423" s="95">
        <f>SUM(B422:R422)</f>
        <v>778995.09947890835</v>
      </c>
      <c r="S423" s="95">
        <f>SUM(B422:S422)</f>
        <v>899925.43508906511</v>
      </c>
      <c r="T423" s="95">
        <f>SUM(B422:T422)</f>
        <v>1026426.0885169163</v>
      </c>
      <c r="U423" s="95">
        <f>SUM(B422:U422)</f>
        <v>1158742.1537464403</v>
      </c>
      <c r="V423" s="95">
        <f>SUM(B422:V422)</f>
        <v>1297129.5088969108</v>
      </c>
      <c r="W423" s="95">
        <f>SUM(B422:W422)</f>
        <v>1441855.2907248496</v>
      </c>
      <c r="X423" s="95">
        <f>SUM(B422:X422)</f>
        <v>1593198.3900040651</v>
      </c>
      <c r="Y423" s="95">
        <f>SUM(B422:Y422)</f>
        <v>1751449.9687024136</v>
      </c>
      <c r="Z423" s="95">
        <f>SUM(B422:Z422)</f>
        <v>1916913.9999143369</v>
      </c>
      <c r="AA423" s="95">
        <f>SUM(B422:AA422)</f>
        <v>2089907.8315504321</v>
      </c>
    </row>
    <row r="424" spans="1:27">
      <c r="A424" s="103" t="s">
        <v>44</v>
      </c>
      <c r="B424" s="104">
        <f>1/POWER((1+B382),B412)</f>
        <v>1</v>
      </c>
      <c r="C424" s="104">
        <f>1/POWER((1+B382),C412)</f>
        <v>0.92250922509225086</v>
      </c>
      <c r="D424" s="104">
        <f>1/POWER((1+B382),D412)</f>
        <v>0.85102327038030523</v>
      </c>
      <c r="E424" s="104">
        <f>1/POWER((1+B382),E412)</f>
        <v>0.78507681769400839</v>
      </c>
      <c r="F424" s="104">
        <f>1/POWER((1+B382),F412)</f>
        <v>0.72424060672879009</v>
      </c>
      <c r="G424" s="104">
        <f>1/POWER((1+B382),G412)</f>
        <v>0.66811864089371786</v>
      </c>
      <c r="H424" s="104">
        <f>1/POWER((1+B382),H412)</f>
        <v>0.61634560968055141</v>
      </c>
      <c r="I424" s="104">
        <f>1/POWER((1+B382),I412)</f>
        <v>0.56858451077541639</v>
      </c>
      <c r="J424" s="104">
        <f>1/POWER((1+B382),J412)</f>
        <v>0.5245244564348861</v>
      </c>
      <c r="K424" s="104">
        <f>1/POWER((1+B382),K412)</f>
        <v>0.48387864984768086</v>
      </c>
      <c r="L424" s="104">
        <f>1/POWER((1+B382),L412)</f>
        <v>0.44638251830966863</v>
      </c>
      <c r="M424" s="104">
        <f>1/POWER((1+B382),M412)</f>
        <v>0.41179199106057984</v>
      </c>
      <c r="N424" s="104">
        <f>1/POWER((1+B382),N412)</f>
        <v>0.37988191057249071</v>
      </c>
      <c r="O424" s="104">
        <f>1/POWER((1+B382),O412)</f>
        <v>0.35044456694879217</v>
      </c>
      <c r="P424" s="104">
        <f>1/POWER((1+B382),P412)</f>
        <v>0.32328834589371969</v>
      </c>
      <c r="Q424" s="104">
        <f>1/POWER((1+B382),Q412)</f>
        <v>0.2982364814517709</v>
      </c>
      <c r="R424" s="104">
        <f>1/POWER((1+B382),R412)</f>
        <v>0.27512590539831266</v>
      </c>
      <c r="S424" s="104">
        <f>1/POWER((1+B382),S412)</f>
        <v>0.25380618579180131</v>
      </c>
      <c r="T424" s="104">
        <f>1/POWER((1+B382),T412)</f>
        <v>0.2341385477784145</v>
      </c>
      <c r="U424" s="104">
        <f>1/POWER((1+B382),U412)</f>
        <v>0.21599497027529013</v>
      </c>
      <c r="V424" s="104">
        <f>1/POWER((1+B382),V412)</f>
        <v>0.19925735265248168</v>
      </c>
      <c r="W424" s="104">
        <f>1/POWER((1+B382),W412)</f>
        <v>0.18381674598937425</v>
      </c>
      <c r="X424" s="104">
        <f>1/POWER((1+B382),X412)</f>
        <v>0.16957264390163673</v>
      </c>
      <c r="Y424" s="104">
        <f>1/POWER((1+B382),Y412)</f>
        <v>0.15643232832254311</v>
      </c>
      <c r="Z424" s="104">
        <f>1/POWER((1+B382),Z412)</f>
        <v>0.14431026598020583</v>
      </c>
      <c r="AA424" s="104">
        <f>1/POWER((1+B382),AA412)</f>
        <v>0.13312755164225631</v>
      </c>
    </row>
    <row r="425" spans="1:27">
      <c r="A425" s="105" t="s">
        <v>45</v>
      </c>
      <c r="B425" s="106">
        <f t="shared" ref="B425:AA425" si="1199">B422*B424</f>
        <v>-760000.00000000012</v>
      </c>
      <c r="C425" s="106">
        <f t="shared" si="1199"/>
        <v>62377.916229457769</v>
      </c>
      <c r="D425" s="106">
        <f t="shared" si="1199"/>
        <v>67557.16614906468</v>
      </c>
      <c r="E425" s="106">
        <f t="shared" si="1199"/>
        <v>65429.74684628674</v>
      </c>
      <c r="F425" s="106">
        <f t="shared" si="1199"/>
        <v>63340.469041537297</v>
      </c>
      <c r="G425" s="106">
        <f t="shared" si="1199"/>
        <v>61291.985967027591</v>
      </c>
      <c r="H425" s="106">
        <f t="shared" si="1199"/>
        <v>59286.465982072899</v>
      </c>
      <c r="I425" s="106">
        <f t="shared" si="1199"/>
        <v>57325.646054348545</v>
      </c>
      <c r="J425" s="106">
        <f t="shared" si="1199"/>
        <v>45717.286624033652</v>
      </c>
      <c r="K425" s="106">
        <f t="shared" si="1199"/>
        <v>43722.805778427661</v>
      </c>
      <c r="L425" s="106">
        <f t="shared" si="1199"/>
        <v>42265.266439292463</v>
      </c>
      <c r="M425" s="106">
        <f t="shared" si="1199"/>
        <v>40842.587769036938</v>
      </c>
      <c r="N425" s="106">
        <f t="shared" si="1199"/>
        <v>39455.480281732962</v>
      </c>
      <c r="O425" s="106">
        <f t="shared" si="1199"/>
        <v>38104.432422429541</v>
      </c>
      <c r="P425" s="106">
        <f t="shared" si="1199"/>
        <v>36789.737123901767</v>
      </c>
      <c r="Q425" s="106">
        <f t="shared" si="1199"/>
        <v>35511.51571367406</v>
      </c>
      <c r="R425" s="106">
        <f t="shared" si="1199"/>
        <v>31803.1190969452</v>
      </c>
      <c r="S425" s="106">
        <f t="shared" si="1199"/>
        <v>30692.867227736337</v>
      </c>
      <c r="T425" s="106">
        <f t="shared" si="1199"/>
        <v>29618.679286617571</v>
      </c>
      <c r="U425" s="106">
        <f t="shared" si="1199"/>
        <v>28579.604576194397</v>
      </c>
      <c r="V425" s="106">
        <f t="shared" si="1199"/>
        <v>27574.698027861541</v>
      </c>
      <c r="W425" s="106">
        <f t="shared" si="1199"/>
        <v>26603.022276379808</v>
      </c>
      <c r="X425" s="106">
        <f t="shared" si="1199"/>
        <v>25663.649481044464</v>
      </c>
      <c r="Y425" s="106">
        <f t="shared" si="1199"/>
        <v>24755.662916500816</v>
      </c>
      <c r="Z425" s="106">
        <f t="shared" si="1199"/>
        <v>23878.158354349729</v>
      </c>
      <c r="AA425" s="106">
        <f t="shared" si="1199"/>
        <v>23030.245254926067</v>
      </c>
    </row>
    <row r="426" spans="1:27">
      <c r="A426" s="105" t="s">
        <v>46</v>
      </c>
      <c r="B426" s="106">
        <f>SUM(B425:B425)</f>
        <v>-760000.00000000012</v>
      </c>
      <c r="C426" s="106">
        <f>SUM(B425:C425)</f>
        <v>-697622.08377054241</v>
      </c>
      <c r="D426" s="106">
        <f>SUM(B425:D425)</f>
        <v>-630064.91762147774</v>
      </c>
      <c r="E426" s="106">
        <f>SUM(B425:E425)</f>
        <v>-564635.17077519104</v>
      </c>
      <c r="F426" s="106">
        <f>SUM(B425:F425)</f>
        <v>-501294.70173365372</v>
      </c>
      <c r="G426" s="106">
        <f>SUM(B425:G425)</f>
        <v>-440002.71576662612</v>
      </c>
      <c r="H426" s="106">
        <f>SUM(B425:H425)</f>
        <v>-380716.24978455319</v>
      </c>
      <c r="I426" s="106">
        <f>SUM(B425:I425)</f>
        <v>-323390.60373020463</v>
      </c>
      <c r="J426" s="106">
        <f>SUM(B425:J425)</f>
        <v>-277673.31710617099</v>
      </c>
      <c r="K426" s="106">
        <f>SUM(B425:K425)</f>
        <v>-233950.51132774333</v>
      </c>
      <c r="L426" s="106">
        <f>SUM(B425:L425)</f>
        <v>-191685.24488845086</v>
      </c>
      <c r="M426" s="106">
        <f>SUM(B425:M425)</f>
        <v>-150842.65711941393</v>
      </c>
      <c r="N426" s="106">
        <f>SUM(B425:N425)</f>
        <v>-111387.17683768096</v>
      </c>
      <c r="O426" s="106">
        <f>SUM(B425:O425)</f>
        <v>-73282.744415251422</v>
      </c>
      <c r="P426" s="106">
        <f>SUM(B425:P425)</f>
        <v>-36493.007291349655</v>
      </c>
      <c r="Q426" s="106">
        <f>SUM(B425:Q425)</f>
        <v>-981.49157767559518</v>
      </c>
      <c r="R426" s="106">
        <f>SUM(B425:R425)</f>
        <v>30821.627519269605</v>
      </c>
      <c r="S426" s="106">
        <f>SUM(B425:S425)</f>
        <v>61514.494747005941</v>
      </c>
      <c r="T426" s="106">
        <f>SUM(B425:T425)</f>
        <v>91133.174033623509</v>
      </c>
      <c r="U426" s="106">
        <f>SUM(B425:U425)</f>
        <v>119712.77860981791</v>
      </c>
      <c r="V426" s="106">
        <f>SUM(B425:V425)</f>
        <v>147287.47663767944</v>
      </c>
      <c r="W426" s="106">
        <f>SUM(B425:W425)</f>
        <v>173890.49891405925</v>
      </c>
      <c r="X426" s="106">
        <f>SUM(B425:X425)</f>
        <v>199554.14839510372</v>
      </c>
      <c r="Y426" s="106">
        <f>SUM(B425:Y425)</f>
        <v>224309.81131160454</v>
      </c>
      <c r="Z426" s="106">
        <f>SUM(B425:Z425)</f>
        <v>248187.96966595427</v>
      </c>
      <c r="AA426" s="106">
        <f>SUM(B425:AA425)</f>
        <v>271218.21492088033</v>
      </c>
    </row>
    <row r="427" spans="1:27">
      <c r="A427" s="105" t="s">
        <v>47</v>
      </c>
      <c r="B427" s="107">
        <f>IF((ISERR(IRR(B422:B422))),0,IF(IRR(B422:B422)&lt;0,0,IRR(B422:B422)))</f>
        <v>0</v>
      </c>
      <c r="C427" s="107">
        <f>IF((ISERR(IRR(B422:C422))),0,IF(IRR(B422:C422)&lt;0,0,IRR(B422:C422)))</f>
        <v>0</v>
      </c>
      <c r="D427" s="107">
        <f>IF((ISERR(IRR(B422:D422))),0,IF(IRR(B422:D422)&lt;0,0,IRR(B422:D422)))</f>
        <v>0</v>
      </c>
      <c r="E427" s="107">
        <f>IF((ISERR(IRR(B422:E422))),0,IF(IRR(B422:E422)&lt;0,0,IRR(B422:E422)))</f>
        <v>0</v>
      </c>
      <c r="F427" s="107">
        <f>IF((ISERR(IRR(B422:F422))),0,IF(IRR(B422:F422)&lt;0,0,IRR(B422:F422)))</f>
        <v>0</v>
      </c>
      <c r="G427" s="107">
        <f>IF((ISERR(IRR(B422:G422))),0,IF(IRR(B422:G422)&lt;0,0,IRR(B422:G422)))</f>
        <v>0</v>
      </c>
      <c r="H427" s="107">
        <f>IF((ISERR(IRR(B422:H422))),0,IF(IRR(B422:H422)&lt;0,0,IRR(B422:H422)))</f>
        <v>0</v>
      </c>
      <c r="I427" s="107">
        <f>IF((ISERR(IRR(B422:I422))),0,IF(IRR(B422:I422)&lt;0,0,IRR(B422:I422)))</f>
        <v>0</v>
      </c>
      <c r="J427" s="107">
        <f>IF((ISERR(IRR(B422:J422))),0,IF(IRR(B422:J422)&lt;0,0,IRR(B422:J422)))</f>
        <v>0</v>
      </c>
      <c r="K427" s="107">
        <f>IF((ISERR(IRR(B422:K422))),0,IF(IRR(B422:K422)&lt;0,0,IRR(B422:K422)))</f>
        <v>6.0342112802940218E-3</v>
      </c>
      <c r="L427" s="107">
        <f>IF((ISERR(IRR(B422:L422))),0,IF(IRR(B422:L422)&lt;0,0,IRR(B422:L422)))</f>
        <v>2.6182136600406247E-2</v>
      </c>
      <c r="M427" s="107">
        <f>IF((ISERR(IRR(B422:M422))),0,IF(IRR(B422:M422)&lt;0,0,IRR(B422:M422)))</f>
        <v>4.2518922395505365E-2</v>
      </c>
      <c r="N427" s="107">
        <f>IF((ISERR(IRR(B422:N422))),0,IF(IRR(B422:N422)&lt;0,0,IRR(B422:N422)))</f>
        <v>5.5884378546758651E-2</v>
      </c>
      <c r="O427" s="107">
        <f>IF((ISERR(IRR(B422:O422))),0,IF(IRR(B422:O422)&lt;0,0,IRR(B422:O422)))</f>
        <v>6.6916332609635587E-2</v>
      </c>
      <c r="P427" s="107">
        <f>IF((ISERR(IRR(B422:P422))),0,IF(IRR(B422:P422)&lt;0,0,IRR(B422:P422)))</f>
        <v>7.609889248546664E-2</v>
      </c>
      <c r="Q427" s="107">
        <f>IF((ISERR(IRR(B422:Q422))),0,IF(IRR(B422:Q422)&lt;0,0,IRR(B422:Q422)))</f>
        <v>8.3801634332889119E-2</v>
      </c>
      <c r="R427" s="107">
        <f>IF((ISERR(IRR(B422:R422))),0,IF(IRR(B422:R422)&lt;0,0,IRR(B422:R422)))</f>
        <v>8.9867173361708019E-2</v>
      </c>
      <c r="S427" s="107">
        <f>IF((ISERR(IRR(B422:S422))),0,IF(IRR(B422:S422)&lt;0,0,IRR(B422:S422)))</f>
        <v>9.5067307559649095E-2</v>
      </c>
      <c r="T427" s="107">
        <f>IF((ISERR(IRR(B422:T422))),0,IF(IRR(B422:T422)&lt;0,0,IRR(B422:T422)))</f>
        <v>9.9546489872636368E-2</v>
      </c>
      <c r="U427" s="107">
        <f>IF((ISERR(IRR(B422:U422))),0,IF(IRR(B422:U422)&lt;0,0,IRR(B422:U422)))</f>
        <v>0.10342191137471368</v>
      </c>
      <c r="V427" s="107">
        <f>IF((ISERR(IRR(B422:V422))),0,IF(IRR(B422:V422)&lt;0,0,IRR(B422:V422)))</f>
        <v>0.10678903061860123</v>
      </c>
      <c r="W427" s="107">
        <f>IF((ISERR(IRR(B422:W422))),0,IF(IRR(B422:W422)&lt;0,0,IRR(B422:W422)))</f>
        <v>0.10972598656835131</v>
      </c>
      <c r="X427" s="107">
        <f>IF((ISERR(IRR(B422:X422))),0,IF(IRR(B422:X422)&lt;0,0,IRR(B422:X422)))</f>
        <v>0.11229708166232522</v>
      </c>
      <c r="Y427" s="107">
        <f>IF((ISERR(IRR(B422:Y422))),0,IF(IRR(B422:Y422)&lt;0,0,IRR(B422:Y422)))</f>
        <v>0.11455552038347672</v>
      </c>
      <c r="Z427" s="107">
        <f>IF((ISERR(IRR(B422:Z422))),0,IF(IRR(B422:Z422)&lt;0,0,IRR(B422:Z422)))</f>
        <v>0.11654556290409723</v>
      </c>
      <c r="AA427" s="107">
        <f>IF((ISERR(IRR(B422:AA422))),0,IF(IRR(B422:AA422)&lt;0,0,IRR(B422:AA422)))</f>
        <v>0.11830422303667576</v>
      </c>
    </row>
    <row r="428" spans="1:27">
      <c r="A428" s="105" t="s">
        <v>48</v>
      </c>
      <c r="B428" s="108"/>
      <c r="C428" s="108">
        <f t="shared" ref="C428" si="1200">IF(AND(C423&gt;0,B423&lt;0),(C412-(C423/(C423-B423))),0)</f>
        <v>0</v>
      </c>
      <c r="D428" s="108">
        <f t="shared" ref="D428" si="1201">IF(AND(D423&gt;0,C423&lt;0),(D412-(D423/(D423-C423))),0)</f>
        <v>0</v>
      </c>
      <c r="E428" s="108">
        <f t="shared" ref="E428" si="1202">IF(AND(E423&gt;0,D423&lt;0),(E412-(E423/(E423-D423))),0)</f>
        <v>0</v>
      </c>
      <c r="F428" s="108">
        <f t="shared" ref="F428" si="1203">IF(AND(F423&gt;0,E423&lt;0),(F412-(F423/(F423-E423))),0)</f>
        <v>0</v>
      </c>
      <c r="G428" s="108">
        <f t="shared" ref="G428" si="1204">IF(AND(G423&gt;0,F423&lt;0),(G412-(G423/(G423-F423))),0)</f>
        <v>0</v>
      </c>
      <c r="H428" s="108">
        <f t="shared" ref="H428" si="1205">IF(AND(H423&gt;0,G423&lt;0),(H412-(H423/(H423-G423))),0)</f>
        <v>0</v>
      </c>
      <c r="I428" s="108">
        <f t="shared" ref="I428" si="1206">IF(AND(I423&gt;0,H423&lt;0),(I412-(I423/(I423-H423))),0)</f>
        <v>0</v>
      </c>
      <c r="J428" s="108">
        <f t="shared" ref="J428" si="1207">IF(AND(J423&gt;0,I423&lt;0),(J412-(J423/(J423-I423))),0)</f>
        <v>0</v>
      </c>
      <c r="K428" s="108">
        <f t="shared" ref="K428" si="1208">IF(AND(K423&gt;0,J423&lt;0),(K412-(K423/(K423-J423))),0)</f>
        <v>8.7336248110273367</v>
      </c>
      <c r="L428" s="108">
        <f t="shared" ref="L428" si="1209">IF(AND(L423&gt;0,K423&lt;0),(L412-(L423/(L423-K423))),0)</f>
        <v>0</v>
      </c>
      <c r="M428" s="108">
        <f t="shared" ref="M428" si="1210">IF(AND(M423&gt;0,L423&lt;0),(M412-(M423/(M423-L423))),0)</f>
        <v>0</v>
      </c>
      <c r="N428" s="108">
        <f t="shared" ref="N428" si="1211">IF(AND(N423&gt;0,M423&lt;0),(N412-(N423/(N423-M423))),0)</f>
        <v>0</v>
      </c>
      <c r="O428" s="108">
        <f t="shared" ref="O428" si="1212">IF(AND(O423&gt;0,N423&lt;0),(O412-(O423/(O423-N423))),0)</f>
        <v>0</v>
      </c>
      <c r="P428" s="108">
        <f>IF(AND(P423&gt;0,O423&lt;0),(P412-(P423/(P423-O423))),0)</f>
        <v>0</v>
      </c>
      <c r="Q428" s="108">
        <f>IF(AND(Q423&gt;0,P423&lt;0),(Q412-(Q423/(Q423-P423))),0)</f>
        <v>0</v>
      </c>
      <c r="R428" s="108">
        <f t="shared" ref="R428" si="1213">IF(AND(R423&gt;0,Q423&lt;0),(R412-(R423/(R423-Q423))),0)</f>
        <v>0</v>
      </c>
      <c r="S428" s="108">
        <f t="shared" ref="S428" si="1214">IF(AND(S423&gt;0,R423&lt;0),(S412-(S423/(S423-R423))),0)</f>
        <v>0</v>
      </c>
      <c r="T428" s="108">
        <f t="shared" ref="T428" si="1215">IF(AND(T423&gt;0,S423&lt;0),(T412-(T423/(T423-S423))),0)</f>
        <v>0</v>
      </c>
      <c r="U428" s="108">
        <f t="shared" ref="U428" si="1216">IF(AND(U423&gt;0,T423&lt;0),(U412-(U423/(U423-T423))),0)</f>
        <v>0</v>
      </c>
      <c r="V428" s="108">
        <f t="shared" ref="V428" si="1217">IF(AND(V423&gt;0,U423&lt;0),(V412-(V423/(V423-U423))),0)</f>
        <v>0</v>
      </c>
      <c r="W428" s="108">
        <f t="shared" ref="W428" si="1218">IF(AND(W423&gt;0,V423&lt;0),(W412-(W423/(W423-V423))),0)</f>
        <v>0</v>
      </c>
      <c r="X428" s="108">
        <f t="shared" ref="X428" si="1219">IF(AND(X423&gt;0,W423&lt;0),(X412-(X423/(X423-W423))),0)</f>
        <v>0</v>
      </c>
      <c r="Y428" s="108">
        <f t="shared" ref="Y428" si="1220">IF(AND(Y423&gt;0,X423&lt;0),(Y412-(Y423/(Y423-X423))),0)</f>
        <v>0</v>
      </c>
      <c r="Z428" s="108">
        <f t="shared" ref="Z428" si="1221">IF(AND(Z423&gt;0,Y423&lt;0),(Z412-(Z423/(Z423-Y423))),0)</f>
        <v>0</v>
      </c>
      <c r="AA428" s="108">
        <f t="shared" ref="AA428" si="1222">IF(AND(AA423&gt;0,Z423&lt;0),(AA412-(AA423/(AA423-Z423))),0)</f>
        <v>0</v>
      </c>
    </row>
    <row r="429" spans="1:27" ht="16.5" thickBot="1">
      <c r="A429" s="109" t="s">
        <v>49</v>
      </c>
      <c r="B429" s="110"/>
      <c r="C429" s="110">
        <f t="shared" ref="C429" si="1223">IF(AND(C426&gt;0,B426&lt;0),(C412-(C426/(C426-B426))),0)</f>
        <v>0</v>
      </c>
      <c r="D429" s="110">
        <f t="shared" ref="D429" si="1224">IF(AND(D426&gt;0,C426&lt;0),(D412-(D426/(D426-C426))),0)</f>
        <v>0</v>
      </c>
      <c r="E429" s="110">
        <f t="shared" ref="E429" si="1225">IF(AND(E426&gt;0,D426&lt;0),(E412-(E426/(E426-D426))),0)</f>
        <v>0</v>
      </c>
      <c r="F429" s="110">
        <f t="shared" ref="F429" si="1226">IF(AND(F426&gt;0,E426&lt;0),(F412-(F426/(F426-E426))),0)</f>
        <v>0</v>
      </c>
      <c r="G429" s="110">
        <f t="shared" ref="G429" si="1227">IF(AND(G426&gt;0,F426&lt;0),(G412-(G426/(G426-F426))),0)</f>
        <v>0</v>
      </c>
      <c r="H429" s="110">
        <f t="shared" ref="H429" si="1228">IF(AND(H426&gt;0,G426&lt;0),(H412-(H426/(H426-G426))),0)</f>
        <v>0</v>
      </c>
      <c r="I429" s="110">
        <f t="shared" ref="I429" si="1229">IF(AND(I426&gt;0,H426&lt;0),(I412-(I426/(I426-H426))),0)</f>
        <v>0</v>
      </c>
      <c r="J429" s="110">
        <f t="shared" ref="J429" si="1230">IF(AND(J426&gt;0,I426&lt;0),(J412-(J426/(J426-I426))),0)</f>
        <v>0</v>
      </c>
      <c r="K429" s="110">
        <f t="shared" ref="K429" si="1231">IF(AND(K426&gt;0,J426&lt;0),(K412-(K426/(K426-J426))),0)</f>
        <v>0</v>
      </c>
      <c r="L429" s="110">
        <f t="shared" ref="L429" si="1232">IF(AND(L426&gt;0,K426&lt;0),(L412-(L426/(L426-K426))),0)</f>
        <v>0</v>
      </c>
      <c r="M429" s="110">
        <f t="shared" ref="M429" si="1233">IF(AND(M426&gt;0,L426&lt;0),(M412-(M426/(M426-L426))),0)</f>
        <v>0</v>
      </c>
      <c r="N429" s="110">
        <f t="shared" ref="N429" si="1234">IF(AND(N426&gt;0,M426&lt;0),(N412-(N426/(N426-M426))),0)</f>
        <v>0</v>
      </c>
      <c r="O429" s="110">
        <f t="shared" ref="O429" si="1235">IF(AND(O426&gt;0,N426&lt;0),(O412-(O426/(O426-N426))),0)</f>
        <v>0</v>
      </c>
      <c r="P429" s="110">
        <f t="shared" ref="P429" si="1236">IF(AND(P426&gt;0,O426&lt;0),(P412-(P426/(P426-O426))),0)</f>
        <v>0</v>
      </c>
      <c r="Q429" s="110">
        <f t="shared" ref="Q429" si="1237">IF(AND(Q426&gt;0,P426&lt;0),(Q412-(Q426/(Q426-P426))),0)</f>
        <v>0</v>
      </c>
      <c r="R429" s="110">
        <f t="shared" ref="R429" si="1238">IF(AND(R426&gt;0,Q426&lt;0),(R412-(R426/(R426-Q426))),0)</f>
        <v>15.030861487978072</v>
      </c>
      <c r="S429" s="110">
        <f t="shared" ref="S429" si="1239">IF(AND(S426&gt;0,R426&lt;0),(S412-(S426/(S426-R426))),0)</f>
        <v>0</v>
      </c>
      <c r="T429" s="110">
        <f t="shared" ref="T429" si="1240">IF(AND(T426&gt;0,S426&lt;0),(T412-(T426/(T426-S426))),0)</f>
        <v>0</v>
      </c>
      <c r="U429" s="110">
        <f t="shared" ref="U429" si="1241">IF(AND(U426&gt;0,T426&lt;0),(U412-(U426/(U426-T426))),0)</f>
        <v>0</v>
      </c>
      <c r="V429" s="110">
        <f t="shared" ref="V429" si="1242">IF(AND(V426&gt;0,U426&lt;0),(V412-(V426/(V426-U426))),0)</f>
        <v>0</v>
      </c>
      <c r="W429" s="110">
        <f t="shared" ref="W429" si="1243">IF(AND(W426&gt;0,V426&lt;0),(W412-(W426/(W426-V426))),0)</f>
        <v>0</v>
      </c>
      <c r="X429" s="110">
        <f t="shared" ref="X429" si="1244">IF(AND(X426&gt;0,W426&lt;0),(X412-(X426/(X426-W426))),0)</f>
        <v>0</v>
      </c>
      <c r="Y429" s="110">
        <f t="shared" ref="Y429" si="1245">IF(AND(Y426&gt;0,X426&lt;0),(Y412-(Y426/(Y426-X426))),0)</f>
        <v>0</v>
      </c>
      <c r="Z429" s="110">
        <f t="shared" ref="Z429" si="1246">IF(AND(Z426&gt;0,Y426&lt;0),(Z412-(Z426/(Z426-Y426))),0)</f>
        <v>0</v>
      </c>
      <c r="AA429" s="110">
        <f>IF(AND(AA426&gt;0,Z426&lt;0),(AA412-(AA426/(AA426-Z426))),0)</f>
        <v>0</v>
      </c>
    </row>
    <row r="432" spans="1:27" ht="16.5" thickBot="1">
      <c r="A432" s="58" t="s">
        <v>299</v>
      </c>
      <c r="B432" s="58" t="s">
        <v>300</v>
      </c>
      <c r="D432" s="59"/>
      <c r="E432" s="60"/>
      <c r="F432" s="60"/>
      <c r="G432" s="60"/>
      <c r="H432" s="60"/>
    </row>
    <row r="433" spans="1:11" ht="25.5">
      <c r="A433" s="61" t="s">
        <v>301</v>
      </c>
      <c r="B433" s="706">
        <f>0.76*1000000/1.18</f>
        <v>644067.79661016958</v>
      </c>
      <c r="C433" s="680">
        <v>7</v>
      </c>
      <c r="D433" s="705" t="str">
        <f>'приложение 1.1 '!B34</f>
        <v>Монтаж системы АИИС КУЭ на ПС №121 -35/6кВ</v>
      </c>
      <c r="E433" s="62"/>
      <c r="F433" s="62"/>
      <c r="G433" s="62"/>
      <c r="H433" s="62"/>
      <c r="I433" s="62"/>
      <c r="J433" s="62"/>
      <c r="K433" s="62"/>
    </row>
    <row r="434" spans="1:11">
      <c r="A434" s="63" t="s">
        <v>302</v>
      </c>
      <c r="B434" s="64">
        <v>0</v>
      </c>
      <c r="C434" s="62"/>
      <c r="D434" s="62"/>
      <c r="E434" s="62"/>
      <c r="F434" s="62"/>
      <c r="G434" s="62"/>
      <c r="H434" s="62"/>
      <c r="I434" s="62"/>
      <c r="J434" s="62"/>
      <c r="K434" s="62"/>
    </row>
    <row r="435" spans="1:11">
      <c r="A435" s="63" t="s">
        <v>303</v>
      </c>
      <c r="B435" s="64">
        <v>15</v>
      </c>
      <c r="C435" s="62"/>
      <c r="D435" s="57" t="s">
        <v>304</v>
      </c>
      <c r="E435" s="62"/>
      <c r="F435" s="62"/>
      <c r="G435" s="62"/>
      <c r="H435" s="62"/>
      <c r="I435" s="62"/>
      <c r="J435" s="62"/>
      <c r="K435" s="62"/>
    </row>
    <row r="436" spans="1:11" ht="16.5" thickBot="1">
      <c r="A436" s="65" t="s">
        <v>305</v>
      </c>
      <c r="B436" s="68">
        <v>1</v>
      </c>
      <c r="C436" s="62"/>
      <c r="D436" s="929" t="s">
        <v>306</v>
      </c>
      <c r="E436" s="929"/>
      <c r="F436" s="934">
        <f>SUM(B498:X498)</f>
        <v>10.82455383332157</v>
      </c>
      <c r="G436" s="935">
        <f>SUM(C498:Y498)</f>
        <v>10.82455383332157</v>
      </c>
      <c r="K436" s="66"/>
    </row>
    <row r="437" spans="1:11">
      <c r="A437" s="70" t="s">
        <v>469</v>
      </c>
      <c r="B437" s="473">
        <f>B433*0.417/100</f>
        <v>2685.7627118644073</v>
      </c>
      <c r="C437" s="62"/>
      <c r="D437" s="929" t="s">
        <v>470</v>
      </c>
      <c r="E437" s="929"/>
      <c r="F437" s="934">
        <f>IF(SUM(B499:AA499)=0,"не окупается",SUM(B499:AA499))</f>
        <v>21.756918494819367</v>
      </c>
      <c r="G437" s="935"/>
      <c r="K437" s="66"/>
    </row>
    <row r="438" spans="1:11">
      <c r="A438" s="72" t="s">
        <v>471</v>
      </c>
      <c r="B438" s="474">
        <v>5</v>
      </c>
      <c r="C438" s="62"/>
      <c r="D438" s="929" t="s">
        <v>50</v>
      </c>
      <c r="E438" s="929"/>
      <c r="F438" s="932">
        <f>AA496</f>
        <v>70985.08088456915</v>
      </c>
      <c r="G438" s="933"/>
      <c r="K438" s="66"/>
    </row>
    <row r="439" spans="1:11">
      <c r="A439" s="72" t="s">
        <v>6</v>
      </c>
      <c r="B439" s="474">
        <v>1</v>
      </c>
      <c r="C439" s="62"/>
      <c r="D439" s="929" t="s">
        <v>7</v>
      </c>
      <c r="E439" s="929"/>
      <c r="F439" s="930" t="str">
        <f>IF(F438&gt;0,"да","нет")</f>
        <v>да</v>
      </c>
      <c r="G439" s="931"/>
      <c r="K439" s="66"/>
    </row>
    <row r="440" spans="1:11">
      <c r="A440" s="72" t="s">
        <v>8</v>
      </c>
      <c r="B440" s="474">
        <f>B433*0.0375/100</f>
        <v>241.52542372881359</v>
      </c>
      <c r="C440" s="62"/>
      <c r="D440" s="62"/>
      <c r="E440" s="62"/>
      <c r="F440" s="62"/>
      <c r="G440" s="62"/>
      <c r="H440" s="62"/>
      <c r="I440" s="62"/>
      <c r="J440" s="62"/>
      <c r="K440" s="62"/>
    </row>
    <row r="441" spans="1:11">
      <c r="A441" s="72" t="s">
        <v>9</v>
      </c>
      <c r="B441" s="475">
        <v>5</v>
      </c>
      <c r="C441" s="62"/>
      <c r="D441" s="62"/>
      <c r="E441" s="62"/>
      <c r="F441" s="62"/>
      <c r="G441" s="62"/>
      <c r="H441" s="62"/>
      <c r="I441" s="62"/>
      <c r="J441" s="62"/>
      <c r="K441" s="62"/>
    </row>
    <row r="442" spans="1:11">
      <c r="A442" s="72" t="s">
        <v>10</v>
      </c>
      <c r="B442" s="475">
        <v>1</v>
      </c>
      <c r="C442" s="62"/>
      <c r="D442" s="62"/>
      <c r="E442" s="62"/>
      <c r="F442" s="62"/>
      <c r="G442" s="62"/>
      <c r="H442" s="62"/>
      <c r="I442" s="62"/>
      <c r="J442" s="62"/>
      <c r="K442" s="62"/>
    </row>
    <row r="443" spans="1:11">
      <c r="A443" s="75" t="s">
        <v>290</v>
      </c>
      <c r="B443" s="475">
        <v>0</v>
      </c>
      <c r="C443" s="62"/>
      <c r="D443" s="62"/>
      <c r="E443" s="62"/>
      <c r="F443" s="62"/>
      <c r="G443" s="62"/>
      <c r="H443" s="62"/>
      <c r="I443" s="62"/>
      <c r="J443" s="62"/>
      <c r="K443" s="62"/>
    </row>
    <row r="444" spans="1:11" ht="16.5" thickBot="1">
      <c r="A444" s="471" t="s">
        <v>100</v>
      </c>
      <c r="B444" s="476">
        <v>0.2</v>
      </c>
      <c r="C444" s="62"/>
      <c r="D444" s="62"/>
      <c r="E444" s="62"/>
      <c r="F444" s="62"/>
      <c r="G444" s="62"/>
      <c r="H444" s="62"/>
      <c r="I444" s="62"/>
      <c r="J444" s="62"/>
      <c r="K444" s="62"/>
    </row>
    <row r="445" spans="1:11">
      <c r="A445" s="61" t="s">
        <v>290</v>
      </c>
      <c r="B445" s="472">
        <v>0</v>
      </c>
      <c r="C445" s="62"/>
      <c r="D445" s="62"/>
      <c r="E445" s="62"/>
      <c r="F445" s="62"/>
      <c r="G445" s="62"/>
      <c r="H445" s="62"/>
      <c r="I445" s="62"/>
      <c r="J445" s="62"/>
      <c r="K445" s="62"/>
    </row>
    <row r="446" spans="1:11">
      <c r="A446" s="63" t="s">
        <v>11</v>
      </c>
      <c r="B446" s="64">
        <v>0</v>
      </c>
      <c r="C446" s="62"/>
      <c r="D446" s="62"/>
      <c r="E446" s="62"/>
      <c r="F446" s="62"/>
      <c r="G446" s="62"/>
      <c r="H446" s="62"/>
      <c r="I446" s="62"/>
      <c r="J446" s="62"/>
      <c r="K446" s="62"/>
    </row>
    <row r="447" spans="1:11" ht="16.5" thickBot="1">
      <c r="A447" s="67" t="s">
        <v>12</v>
      </c>
      <c r="B447" s="69">
        <v>0.1</v>
      </c>
      <c r="C447" s="62"/>
      <c r="D447" s="62"/>
      <c r="E447" s="62"/>
      <c r="F447" s="62"/>
      <c r="G447" s="62"/>
      <c r="H447" s="62"/>
      <c r="I447" s="62"/>
      <c r="J447" s="62"/>
      <c r="K447" s="62"/>
    </row>
    <row r="448" spans="1:11">
      <c r="A448" s="70" t="s">
        <v>13</v>
      </c>
      <c r="B448" s="71">
        <v>7</v>
      </c>
    </row>
    <row r="449" spans="1:27">
      <c r="A449" s="72" t="s">
        <v>14</v>
      </c>
      <c r="B449" s="73">
        <v>0.14000000000000001</v>
      </c>
    </row>
    <row r="450" spans="1:27">
      <c r="A450" s="72" t="s">
        <v>15</v>
      </c>
      <c r="B450" s="74">
        <v>0.14000000000000001</v>
      </c>
    </row>
    <row r="451" spans="1:27">
      <c r="A451" s="72" t="s">
        <v>16</v>
      </c>
      <c r="B451" s="74">
        <f>+(B461+B462)/B433</f>
        <v>0</v>
      </c>
    </row>
    <row r="452" spans="1:27">
      <c r="A452" s="72" t="s">
        <v>17</v>
      </c>
      <c r="B452" s="74">
        <v>8.4000000000000005E-2</v>
      </c>
    </row>
    <row r="453" spans="1:27">
      <c r="A453" s="72" t="s">
        <v>18</v>
      </c>
      <c r="B453" s="74">
        <f>1-B451</f>
        <v>1</v>
      </c>
    </row>
    <row r="454" spans="1:27" ht="16.5" thickBot="1">
      <c r="A454" s="75" t="s">
        <v>19</v>
      </c>
      <c r="B454" s="76">
        <f>B453*B452+B451*B450*(1-B444)</f>
        <v>8.4000000000000005E-2</v>
      </c>
    </row>
    <row r="455" spans="1:27" ht="47.25">
      <c r="A455" s="77" t="s">
        <v>20</v>
      </c>
      <c r="B455" s="78" t="s">
        <v>553</v>
      </c>
      <c r="C455" s="79">
        <v>2017</v>
      </c>
      <c r="D455" s="80">
        <f t="shared" ref="D455" si="1247">C455+1</f>
        <v>2018</v>
      </c>
      <c r="E455" s="80">
        <f t="shared" ref="E455" si="1248">D455+1</f>
        <v>2019</v>
      </c>
      <c r="F455" s="80">
        <f t="shared" ref="F455" si="1249">E455+1</f>
        <v>2020</v>
      </c>
      <c r="G455" s="80">
        <f t="shared" ref="G455" si="1250">F455+1</f>
        <v>2021</v>
      </c>
      <c r="H455" s="80">
        <f t="shared" ref="H455" si="1251">G455+1</f>
        <v>2022</v>
      </c>
      <c r="I455" s="80">
        <f t="shared" ref="I455" si="1252">H455+1</f>
        <v>2023</v>
      </c>
      <c r="J455" s="80">
        <f t="shared" ref="J455" si="1253">I455+1</f>
        <v>2024</v>
      </c>
      <c r="K455" s="80">
        <f t="shared" ref="K455" si="1254">J455+1</f>
        <v>2025</v>
      </c>
      <c r="L455" s="81">
        <f t="shared" ref="L455" si="1255">K455+1</f>
        <v>2026</v>
      </c>
      <c r="M455" s="81">
        <f t="shared" ref="M455" si="1256">L455+1</f>
        <v>2027</v>
      </c>
      <c r="N455" s="81">
        <f t="shared" ref="N455" si="1257">M455+1</f>
        <v>2028</v>
      </c>
      <c r="O455" s="81">
        <f t="shared" ref="O455" si="1258">N455+1</f>
        <v>2029</v>
      </c>
      <c r="P455" s="81">
        <f t="shared" ref="P455" si="1259">O455+1</f>
        <v>2030</v>
      </c>
      <c r="Q455" s="81">
        <f t="shared" ref="Q455" si="1260">P455+1</f>
        <v>2031</v>
      </c>
      <c r="R455" s="81">
        <f t="shared" ref="R455" si="1261">Q455+1</f>
        <v>2032</v>
      </c>
      <c r="S455" s="81">
        <f t="shared" ref="S455" si="1262">R455+1</f>
        <v>2033</v>
      </c>
      <c r="T455" s="81">
        <f t="shared" ref="T455" si="1263">S455+1</f>
        <v>2034</v>
      </c>
      <c r="U455" s="81">
        <f t="shared" ref="U455" si="1264">T455+1</f>
        <v>2035</v>
      </c>
      <c r="V455" s="81">
        <f t="shared" ref="V455" si="1265">U455+1</f>
        <v>2036</v>
      </c>
      <c r="W455" s="81">
        <f t="shared" ref="W455" si="1266">V455+1</f>
        <v>2037</v>
      </c>
      <c r="X455" s="81">
        <f t="shared" ref="X455" si="1267">W455+1</f>
        <v>2038</v>
      </c>
      <c r="Y455" s="81">
        <f t="shared" ref="Y455" si="1268">X455+1</f>
        <v>2039</v>
      </c>
      <c r="Z455" s="81">
        <f t="shared" ref="Z455" si="1269">Y455+1</f>
        <v>2040</v>
      </c>
      <c r="AA455" s="82">
        <f t="shared" ref="AA455" si="1270">Z455+1</f>
        <v>2041</v>
      </c>
    </row>
    <row r="456" spans="1:27">
      <c r="A456" s="83" t="s">
        <v>21</v>
      </c>
      <c r="B456" s="84">
        <v>4.3999999999999997E-2</v>
      </c>
      <c r="C456" s="84">
        <v>4.3999999999999997E-2</v>
      </c>
      <c r="D456" s="84">
        <v>4.3999999999999997E-2</v>
      </c>
      <c r="E456" s="84">
        <v>4.3999999999999997E-2</v>
      </c>
      <c r="F456" s="84">
        <v>4.3999999999999997E-2</v>
      </c>
      <c r="G456" s="84">
        <v>4.3999999999999997E-2</v>
      </c>
      <c r="H456" s="84">
        <v>4.3999999999999997E-2</v>
      </c>
      <c r="I456" s="84">
        <v>4.3999999999999997E-2</v>
      </c>
      <c r="J456" s="84">
        <v>4.3999999999999997E-2</v>
      </c>
      <c r="K456" s="84">
        <v>4.3999999999999997E-2</v>
      </c>
      <c r="L456" s="84">
        <v>4.3999999999999997E-2</v>
      </c>
      <c r="M456" s="84">
        <v>4.3999999999999997E-2</v>
      </c>
      <c r="N456" s="84">
        <v>4.3999999999999997E-2</v>
      </c>
      <c r="O456" s="84">
        <v>4.3999999999999997E-2</v>
      </c>
      <c r="P456" s="84">
        <v>4.3999999999999997E-2</v>
      </c>
      <c r="Q456" s="84">
        <v>4.3999999999999997E-2</v>
      </c>
      <c r="R456" s="84">
        <v>4.3999999999999997E-2</v>
      </c>
      <c r="S456" s="84">
        <v>4.3999999999999997E-2</v>
      </c>
      <c r="T456" s="84">
        <v>4.3999999999999997E-2</v>
      </c>
      <c r="U456" s="84">
        <v>4.3999999999999997E-2</v>
      </c>
      <c r="V456" s="84">
        <v>4.3999999999999997E-2</v>
      </c>
      <c r="W456" s="84">
        <v>4.3999999999999997E-2</v>
      </c>
      <c r="X456" s="84">
        <v>4.3999999999999997E-2</v>
      </c>
      <c r="Y456" s="84">
        <v>4.3999999999999997E-2</v>
      </c>
      <c r="Z456" s="84">
        <v>4.3999999999999997E-2</v>
      </c>
      <c r="AA456" s="84">
        <v>4.3999999999999997E-2</v>
      </c>
    </row>
    <row r="457" spans="1:27">
      <c r="A457" s="83" t="s">
        <v>22</v>
      </c>
      <c r="B457" s="84">
        <f>B456</f>
        <v>4.3999999999999997E-2</v>
      </c>
      <c r="C457" s="84">
        <f>(1+B457)*(1+C456)-1</f>
        <v>8.9936000000000016E-2</v>
      </c>
      <c r="D457" s="84">
        <f>(1+C457)*(1+D456)-1</f>
        <v>0.13789318400000017</v>
      </c>
      <c r="E457" s="84">
        <f t="shared" ref="E457" si="1271">(1+D457)*(1+E456)-1</f>
        <v>0.1879604840960003</v>
      </c>
      <c r="F457" s="84">
        <f t="shared" ref="F457" si="1272">(1+E457)*(1+F456)-1</f>
        <v>0.24023074539622447</v>
      </c>
      <c r="G457" s="84">
        <f t="shared" ref="G457" si="1273">(1+F457)*(1+G456)-1</f>
        <v>0.29480089819365829</v>
      </c>
      <c r="H457" s="84">
        <f t="shared" ref="H457" si="1274">(1+G457)*(1+H456)-1</f>
        <v>0.35177213771417937</v>
      </c>
      <c r="I457" s="84">
        <f t="shared" ref="I457" si="1275">(1+H457)*(1+I456)-1</f>
        <v>0.41125011177360338</v>
      </c>
      <c r="J457" s="84">
        <f t="shared" ref="J457" si="1276">(1+I457)*(1+J456)-1</f>
        <v>0.47334511669164203</v>
      </c>
      <c r="K457" s="84">
        <f t="shared" ref="K457" si="1277">(1+J457)*(1+K456)-1</f>
        <v>0.53817230182607423</v>
      </c>
      <c r="L457" s="84">
        <f t="shared" ref="L457" si="1278">(1+K457)*(1+L456)-1</f>
        <v>0.60585188310642146</v>
      </c>
      <c r="M457" s="84">
        <f t="shared" ref="M457" si="1279">(1+L457)*(1+M456)-1</f>
        <v>0.67650936596310407</v>
      </c>
      <c r="N457" s="84">
        <f t="shared" ref="N457" si="1280">(1+M457)*(1+N456)-1</f>
        <v>0.75027577806548074</v>
      </c>
      <c r="O457" s="84">
        <f t="shared" ref="O457" si="1281">(1+N457)*(1+O456)-1</f>
        <v>0.82728791230036203</v>
      </c>
      <c r="P457" s="84">
        <f t="shared" ref="P457" si="1282">(1+O457)*(1+P456)-1</f>
        <v>0.90768858044157796</v>
      </c>
      <c r="Q457" s="84">
        <f t="shared" ref="Q457" si="1283">(1+P457)*(1+Q456)-1</f>
        <v>0.99162687798100757</v>
      </c>
      <c r="R457" s="84">
        <f t="shared" ref="R457" si="1284">(1+Q457)*(1+R456)-1</f>
        <v>1.0792584606121718</v>
      </c>
      <c r="S457" s="84">
        <f t="shared" ref="S457" si="1285">(1+R457)*(1+S456)-1</f>
        <v>1.1707458328791076</v>
      </c>
      <c r="T457" s="84">
        <f t="shared" ref="T457" si="1286">(1+S457)*(1+T456)-1</f>
        <v>1.2662586495257884</v>
      </c>
      <c r="U457" s="84">
        <f t="shared" ref="U457" si="1287">(1+T457)*(1+U456)-1</f>
        <v>1.365974030104923</v>
      </c>
      <c r="V457" s="84">
        <f t="shared" ref="V457" si="1288">(1+U457)*(1+V456)-1</f>
        <v>1.4700768874295398</v>
      </c>
      <c r="W457" s="84">
        <f t="shared" ref="W457" si="1289">(1+V457)*(1+W456)-1</f>
        <v>1.5787602704764399</v>
      </c>
      <c r="X457" s="84">
        <f t="shared" ref="X457" si="1290">(1+W457)*(1+X456)-1</f>
        <v>1.6922257223774033</v>
      </c>
      <c r="Y457" s="84">
        <f t="shared" ref="Y457" si="1291">(1+X457)*(1+Y456)-1</f>
        <v>1.810683654162009</v>
      </c>
      <c r="Z457" s="84">
        <f t="shared" ref="Z457" si="1292">(1+Y457)*(1+Z456)-1</f>
        <v>1.9343537349451374</v>
      </c>
      <c r="AA457" s="84">
        <f t="shared" ref="AA457" si="1293">(1+Z457)*(1+AA456)-1</f>
        <v>2.0634652992827234</v>
      </c>
    </row>
    <row r="458" spans="1:27" ht="16.5" thickBot="1">
      <c r="A458" s="85" t="s">
        <v>23</v>
      </c>
      <c r="B458" s="86"/>
      <c r="C458" s="688">
        <f>B433*0.12*1.075*0</f>
        <v>0</v>
      </c>
      <c r="D458" s="688">
        <f>C458*(1+D456)*0</f>
        <v>0</v>
      </c>
      <c r="E458" s="688">
        <f>B433*0.12*1.075</f>
        <v>83084.745762711871</v>
      </c>
      <c r="F458" s="87">
        <f>E458*(1+F456)</f>
        <v>86740.474576271197</v>
      </c>
      <c r="G458" s="87">
        <f t="shared" ref="G458" si="1294">F458*(1+G456)</f>
        <v>90557.055457627139</v>
      </c>
      <c r="H458" s="87">
        <f t="shared" ref="H458" si="1295">G458*(1+H456)</f>
        <v>94541.565897762732</v>
      </c>
      <c r="I458" s="87">
        <f t="shared" ref="I458" si="1296">H458*(1+I456)</f>
        <v>98701.394797264293</v>
      </c>
      <c r="J458" s="87">
        <f t="shared" ref="J458" si="1297">I458*(1+J456)</f>
        <v>103044.25616834393</v>
      </c>
      <c r="K458" s="87">
        <f t="shared" ref="K458" si="1298">J458*(1+K456)</f>
        <v>107578.20343975106</v>
      </c>
      <c r="L458" s="87">
        <f t="shared" ref="L458" si="1299">K458*(1+L456)</f>
        <v>112311.64439110011</v>
      </c>
      <c r="M458" s="87">
        <f t="shared" ref="M458" si="1300">L458*(1+M456)</f>
        <v>117253.35674430852</v>
      </c>
      <c r="N458" s="87">
        <f t="shared" ref="N458" si="1301">M458*(1+N456)</f>
        <v>122412.5044410581</v>
      </c>
      <c r="O458" s="87">
        <f t="shared" ref="O458" si="1302">N458*(1+O456)</f>
        <v>127798.65463646466</v>
      </c>
      <c r="P458" s="87">
        <f t="shared" ref="P458" si="1303">O458*(1+P456)</f>
        <v>133421.79544046911</v>
      </c>
      <c r="Q458" s="87">
        <f t="shared" ref="Q458" si="1304">P458*(1+Q456)</f>
        <v>139292.35443984976</v>
      </c>
      <c r="R458" s="87">
        <f t="shared" ref="R458" si="1305">Q458*(1+R456)</f>
        <v>145421.21803520314</v>
      </c>
      <c r="S458" s="87">
        <f t="shared" ref="S458" si="1306">R458*(1+S456)</f>
        <v>151819.7516287521</v>
      </c>
      <c r="T458" s="87">
        <f t="shared" ref="T458" si="1307">S458*(1+T456)</f>
        <v>158499.82070041719</v>
      </c>
      <c r="U458" s="87">
        <f t="shared" ref="U458" si="1308">T458*(1+U456)</f>
        <v>165473.81281123555</v>
      </c>
      <c r="V458" s="87">
        <f t="shared" ref="V458" si="1309">U458*(1+V456)</f>
        <v>172754.66057492991</v>
      </c>
      <c r="W458" s="87">
        <f t="shared" ref="W458" si="1310">V458*(1+W456)</f>
        <v>180355.86564022684</v>
      </c>
      <c r="X458" s="87">
        <f t="shared" ref="X458" si="1311">W458*(1+X456)</f>
        <v>188291.52372839683</v>
      </c>
      <c r="Y458" s="87">
        <f t="shared" ref="Y458" si="1312">X458*(1+Y456)</f>
        <v>196576.35077244631</v>
      </c>
      <c r="Z458" s="87">
        <f t="shared" ref="Z458" si="1313">Y458*(1+Z456)</f>
        <v>205225.71020643396</v>
      </c>
      <c r="AA458" s="87">
        <f t="shared" ref="AA458" si="1314">Z458*(1+AA456)</f>
        <v>214255.64145551706</v>
      </c>
    </row>
    <row r="459" spans="1:27" ht="16.5" thickBot="1"/>
    <row r="460" spans="1:27" ht="47.25">
      <c r="A460" s="88" t="s">
        <v>24</v>
      </c>
      <c r="B460" s="78" t="s">
        <v>553</v>
      </c>
      <c r="C460" s="79">
        <f>C455</f>
        <v>2017</v>
      </c>
      <c r="D460" s="80">
        <f t="shared" ref="D460" si="1315">C460+1</f>
        <v>2018</v>
      </c>
      <c r="E460" s="80">
        <f t="shared" ref="E460" si="1316">D460+1</f>
        <v>2019</v>
      </c>
      <c r="F460" s="80">
        <f t="shared" ref="F460" si="1317">E460+1</f>
        <v>2020</v>
      </c>
      <c r="G460" s="80">
        <f t="shared" ref="G460" si="1318">F460+1</f>
        <v>2021</v>
      </c>
      <c r="H460" s="80">
        <f t="shared" ref="H460" si="1319">G460+1</f>
        <v>2022</v>
      </c>
      <c r="I460" s="80">
        <f t="shared" ref="I460" si="1320">H460+1</f>
        <v>2023</v>
      </c>
      <c r="J460" s="80">
        <f t="shared" ref="J460" si="1321">I460+1</f>
        <v>2024</v>
      </c>
      <c r="K460" s="80">
        <f t="shared" ref="K460" si="1322">J460+1</f>
        <v>2025</v>
      </c>
      <c r="L460" s="80">
        <f t="shared" ref="L460" si="1323">K460+1</f>
        <v>2026</v>
      </c>
      <c r="M460" s="80">
        <f t="shared" ref="M460" si="1324">L460+1</f>
        <v>2027</v>
      </c>
      <c r="N460" s="80">
        <f t="shared" ref="N460" si="1325">M460+1</f>
        <v>2028</v>
      </c>
      <c r="O460" s="80">
        <f t="shared" ref="O460" si="1326">N460+1</f>
        <v>2029</v>
      </c>
      <c r="P460" s="80">
        <f t="shared" ref="P460" si="1327">O460+1</f>
        <v>2030</v>
      </c>
      <c r="Q460" s="80">
        <f t="shared" ref="Q460" si="1328">P460+1</f>
        <v>2031</v>
      </c>
      <c r="R460" s="80">
        <f t="shared" ref="R460" si="1329">Q460+1</f>
        <v>2032</v>
      </c>
      <c r="S460" s="80">
        <f t="shared" ref="S460" si="1330">R460+1</f>
        <v>2033</v>
      </c>
      <c r="T460" s="80">
        <f t="shared" ref="T460" si="1331">S460+1</f>
        <v>2034</v>
      </c>
      <c r="U460" s="80">
        <f t="shared" ref="U460" si="1332">T460+1</f>
        <v>2035</v>
      </c>
      <c r="V460" s="80">
        <f t="shared" ref="V460" si="1333">U460+1</f>
        <v>2036</v>
      </c>
      <c r="W460" s="80">
        <f t="shared" ref="W460" si="1334">V460+1</f>
        <v>2037</v>
      </c>
      <c r="X460" s="80">
        <f t="shared" ref="X460" si="1335">W460+1</f>
        <v>2038</v>
      </c>
      <c r="Y460" s="80">
        <f t="shared" ref="Y460" si="1336">X460+1</f>
        <v>2039</v>
      </c>
      <c r="Z460" s="80">
        <f t="shared" ref="Z460" si="1337">Y460+1</f>
        <v>2040</v>
      </c>
      <c r="AA460" s="80">
        <f t="shared" ref="AA460" si="1338">Z460+1</f>
        <v>2041</v>
      </c>
    </row>
    <row r="461" spans="1:27">
      <c r="A461" s="89" t="s">
        <v>25</v>
      </c>
      <c r="B461" s="90">
        <v>0</v>
      </c>
      <c r="C461" s="90">
        <f t="shared" ref="C461" si="1339">B461+B462-B463</f>
        <v>0</v>
      </c>
      <c r="D461" s="90">
        <f>C461+C462-C463</f>
        <v>0</v>
      </c>
      <c r="E461" s="90">
        <f>D461+D462-D463</f>
        <v>0</v>
      </c>
      <c r="F461" s="90">
        <f t="shared" ref="F461" si="1340">E461+E462-E463</f>
        <v>0</v>
      </c>
      <c r="G461" s="90">
        <f t="shared" ref="G461" si="1341">F461+F462-F463</f>
        <v>0</v>
      </c>
      <c r="H461" s="90">
        <f t="shared" ref="H461" si="1342">G461+G462-G463</f>
        <v>0</v>
      </c>
      <c r="I461" s="90">
        <f>H461+H462-H463</f>
        <v>0</v>
      </c>
      <c r="J461" s="90">
        <f t="shared" ref="J461" si="1343">I461+I462-I463</f>
        <v>0</v>
      </c>
      <c r="K461" s="90">
        <f t="shared" ref="K461" si="1344">J461+J462-J463</f>
        <v>0</v>
      </c>
      <c r="L461" s="90">
        <f t="shared" ref="L461" si="1345">K461+K462-K463</f>
        <v>0</v>
      </c>
      <c r="M461" s="90">
        <f>L461+L462-L463</f>
        <v>0</v>
      </c>
      <c r="N461" s="90">
        <f t="shared" ref="N461" si="1346">M461+M462-M463</f>
        <v>0</v>
      </c>
      <c r="O461" s="90">
        <f t="shared" ref="O461" si="1347">N461+N462-N463</f>
        <v>0</v>
      </c>
      <c r="P461" s="90">
        <f t="shared" ref="P461" si="1348">O461+O462-O463</f>
        <v>0</v>
      </c>
      <c r="Q461" s="90">
        <f t="shared" ref="Q461" si="1349">P461+P462-P463</f>
        <v>0</v>
      </c>
      <c r="R461" s="344">
        <f t="shared" ref="R461" si="1350">Q461+Q462-Q463</f>
        <v>0</v>
      </c>
      <c r="S461" s="344">
        <f t="shared" ref="S461" si="1351">R461+R462-R463</f>
        <v>0</v>
      </c>
      <c r="T461" s="344">
        <f t="shared" ref="T461" si="1352">S461+S462-S463</f>
        <v>0</v>
      </c>
      <c r="U461" s="344">
        <f t="shared" ref="U461" si="1353">T461+T462-T463</f>
        <v>0</v>
      </c>
      <c r="V461" s="344">
        <f t="shared" ref="V461" si="1354">U461+U462-U463</f>
        <v>0</v>
      </c>
      <c r="W461" s="344">
        <f t="shared" ref="W461" si="1355">V461+V462-V463</f>
        <v>0</v>
      </c>
      <c r="X461" s="344">
        <f t="shared" ref="X461" si="1356">W461+W462-W463</f>
        <v>0</v>
      </c>
      <c r="Y461" s="344">
        <f t="shared" ref="Y461" si="1357">X461+X462-X463</f>
        <v>0</v>
      </c>
      <c r="Z461" s="344">
        <f t="shared" ref="Z461" si="1358">Y461+Y462-Y463</f>
        <v>0</v>
      </c>
      <c r="AA461" s="344">
        <f t="shared" ref="AA461" si="1359">Z461+Z462-Z463</f>
        <v>0</v>
      </c>
    </row>
    <row r="462" spans="1:27">
      <c r="A462" s="89" t="s">
        <v>26</v>
      </c>
      <c r="B462" s="596">
        <v>0</v>
      </c>
      <c r="C462" s="596">
        <v>0</v>
      </c>
      <c r="D462" s="596">
        <v>0</v>
      </c>
      <c r="E462" s="596">
        <v>0</v>
      </c>
      <c r="F462" s="596">
        <v>0</v>
      </c>
      <c r="G462" s="90">
        <v>0</v>
      </c>
      <c r="H462" s="124">
        <v>0</v>
      </c>
      <c r="I462" s="124">
        <v>0</v>
      </c>
      <c r="J462" s="124">
        <v>0</v>
      </c>
      <c r="K462" s="124">
        <v>0</v>
      </c>
      <c r="L462" s="124">
        <v>0</v>
      </c>
      <c r="M462" s="124">
        <v>0</v>
      </c>
      <c r="N462" s="124">
        <v>0</v>
      </c>
      <c r="O462" s="124">
        <v>0</v>
      </c>
      <c r="P462" s="124">
        <v>0</v>
      </c>
      <c r="Q462" s="124">
        <v>0</v>
      </c>
      <c r="R462" s="344">
        <v>0</v>
      </c>
      <c r="S462" s="344">
        <v>0</v>
      </c>
      <c r="T462" s="344">
        <v>0</v>
      </c>
      <c r="U462" s="344">
        <v>0</v>
      </c>
      <c r="V462" s="344">
        <v>0</v>
      </c>
      <c r="W462" s="344">
        <v>0</v>
      </c>
      <c r="X462" s="344">
        <v>0</v>
      </c>
      <c r="Y462" s="344">
        <v>0</v>
      </c>
      <c r="Z462" s="344">
        <v>0</v>
      </c>
      <c r="AA462" s="344">
        <v>0</v>
      </c>
    </row>
    <row r="463" spans="1:27">
      <c r="A463" s="83" t="s">
        <v>27</v>
      </c>
      <c r="B463" s="124">
        <v>0</v>
      </c>
      <c r="C463" s="124">
        <v>0</v>
      </c>
      <c r="D463" s="124">
        <v>0</v>
      </c>
      <c r="E463" s="124"/>
      <c r="F463" s="90"/>
      <c r="G463" s="124">
        <f>G461/7</f>
        <v>0</v>
      </c>
      <c r="H463" s="90">
        <f>IF(ROUND(H461,1)=0,0,G463+H462/$B$30)</f>
        <v>0</v>
      </c>
      <c r="I463" s="90">
        <f>IF(ROUND(I461,1)=0,0,H463+I462/$B$30)</f>
        <v>0</v>
      </c>
      <c r="J463" s="90">
        <f>IF(ROUND(J461,1)=0,0,I463+J462/B448)</f>
        <v>0</v>
      </c>
      <c r="K463" s="90">
        <f>IF(ROUND(K461,1)=0,0,J463+K462/B448)</f>
        <v>0</v>
      </c>
      <c r="L463" s="90">
        <f>IF(ROUND(L461,1)=0,0,K463+L462/B448)</f>
        <v>0</v>
      </c>
      <c r="M463" s="90">
        <f>IF(ROUND(M461,1)=0,0,L463+M462/B448)</f>
        <v>0</v>
      </c>
      <c r="N463" s="90">
        <f>IF(ROUND(N461,1)=0,0,M463+N462/B448)</f>
        <v>0</v>
      </c>
      <c r="O463" s="90">
        <f>IF(ROUND(O461,1)=0,0,N463+O462/B448)</f>
        <v>0</v>
      </c>
      <c r="P463" s="90">
        <f>IF(ROUND(P461,1)=0,0,O463+P462/B448)</f>
        <v>0</v>
      </c>
      <c r="Q463" s="90">
        <f>IF(ROUND(Q461,1)=0,0,P463+Q462/B448)</f>
        <v>0</v>
      </c>
      <c r="R463" s="344">
        <f>IF(ROUND(R461,1)=0,0,Q463+R462/B448)</f>
        <v>0</v>
      </c>
      <c r="S463" s="344">
        <f>IF(ROUND(S461,1)=0,0,R463+S462/B448)</f>
        <v>0</v>
      </c>
      <c r="T463" s="344">
        <f>IF(ROUND(T461,1)=0,0,S463+T462/B448)</f>
        <v>0</v>
      </c>
      <c r="U463" s="344">
        <f>IF(ROUND(U461,1)=0,0,T463+U462/B448)</f>
        <v>0</v>
      </c>
      <c r="V463" s="344">
        <f>IF(ROUND(V461,1)=0,0,U463+V462/B448)</f>
        <v>0</v>
      </c>
      <c r="W463" s="344">
        <f>IF(ROUND(W461,1)=0,0,V463+W462/B448)</f>
        <v>0</v>
      </c>
      <c r="X463" s="344">
        <f>IF(ROUND(X461,1)=0,0,W463+X462/B448)</f>
        <v>0</v>
      </c>
      <c r="Y463" s="344">
        <f>IF(ROUND(Y461,1)=0,0,X463+Y462/B448)</f>
        <v>0</v>
      </c>
      <c r="Z463" s="344">
        <f>IF(ROUND(Z461,1)=0,0,Y463+Z462/B448)</f>
        <v>0</v>
      </c>
      <c r="AA463" s="344">
        <f>IF(ROUND(AA461,1)=0,0,Z463+AA462/B448)</f>
        <v>0</v>
      </c>
    </row>
    <row r="464" spans="1:27" ht="16.5" thickBot="1">
      <c r="A464" s="85" t="s">
        <v>28</v>
      </c>
      <c r="B464" s="91">
        <f>AVERAGE(SUM(B461:B462),(SUM(B461:B462)-B463))*B450</f>
        <v>0</v>
      </c>
      <c r="C464" s="91">
        <f>AVERAGE(SUM(C461:C462),(SUM(C461:C462)-C463))*B450</f>
        <v>0</v>
      </c>
      <c r="D464" s="91">
        <f>AVERAGE(SUM(D461:D462),(SUM(D461:D462)-D463))*B450</f>
        <v>0</v>
      </c>
      <c r="E464" s="91">
        <f>AVERAGE(SUM(E461:E462),(SUM(E461:E462)-E463))*B450</f>
        <v>0</v>
      </c>
      <c r="F464" s="91">
        <f>AVERAGE(SUM(F461:F462),(SUM(F461:F462)-F463))*B450</f>
        <v>0</v>
      </c>
      <c r="G464" s="91">
        <f>AVERAGE(SUM(G461:G462),(SUM(G461:G462)-G463))*B450</f>
        <v>0</v>
      </c>
      <c r="H464" s="91">
        <f>AVERAGE(SUM(H461:H462),(SUM(H461:H462)-H463))*B450</f>
        <v>0</v>
      </c>
      <c r="I464" s="91">
        <f>AVERAGE(SUM(I461:I462),(SUM(I461:I462)-I463))*B450</f>
        <v>0</v>
      </c>
      <c r="J464" s="91">
        <f>AVERAGE(SUM(J461:J462),(SUM(J461:J462)-J463))*B450</f>
        <v>0</v>
      </c>
      <c r="K464" s="91">
        <f>AVERAGE(SUM(K461:K462),(SUM(K461:K462)-K463))*B450</f>
        <v>0</v>
      </c>
      <c r="L464" s="91">
        <f>AVERAGE(SUM(L461:L462),(SUM(L461:L462)-L463))*B450</f>
        <v>0</v>
      </c>
      <c r="M464" s="91">
        <f>AVERAGE(SUM(M461:M462),(SUM(M461:M462)-M463))*B450</f>
        <v>0</v>
      </c>
      <c r="N464" s="91">
        <f>AVERAGE(SUM(N461:N462),(SUM(N461:N462)-N463))*B450</f>
        <v>0</v>
      </c>
      <c r="O464" s="91">
        <f>AVERAGE(SUM(O461:O462),(SUM(O461:O462)-O463))*B450</f>
        <v>0</v>
      </c>
      <c r="P464" s="91">
        <f>AVERAGE(SUM(P461:P462),(SUM(P461:P462)-P463))*B450</f>
        <v>0</v>
      </c>
      <c r="Q464" s="91">
        <f>AVERAGE(SUM(Q461:Q462),(SUM(Q461:Q462)-Q463))*B450</f>
        <v>0</v>
      </c>
      <c r="R464" s="345">
        <f>AVERAGE(SUM(R461:R462),(SUM(R461:R462)-R463))*B450</f>
        <v>0</v>
      </c>
      <c r="S464" s="345">
        <f>AVERAGE(SUM(S461:S462),(SUM(S461:S462)-S463))*B450</f>
        <v>0</v>
      </c>
      <c r="T464" s="345">
        <f>AVERAGE(SUM(T461:T462),(SUM(T461:T462)-T463))*B450</f>
        <v>0</v>
      </c>
      <c r="U464" s="345">
        <f>AVERAGE(SUM(U461:U462),(SUM(U461:U462)-U463))*B450</f>
        <v>0</v>
      </c>
      <c r="V464" s="345">
        <f>AVERAGE(SUM(V461:V462),(SUM(V461:V462)-V463))*B450</f>
        <v>0</v>
      </c>
      <c r="W464" s="345">
        <f>AVERAGE(SUM(W461:W462),(SUM(W461:W462)-W463))*B450</f>
        <v>0</v>
      </c>
      <c r="X464" s="345">
        <f>AVERAGE(SUM(X461:X462),(SUM(X461:X462)-X463))*B450</f>
        <v>0</v>
      </c>
      <c r="Y464" s="345">
        <f>AVERAGE(SUM(Y461:Y462),(SUM(Y461:Y462)-Y463))*B450</f>
        <v>0</v>
      </c>
      <c r="Z464" s="345">
        <f>AVERAGE(SUM(Z461:Z462),(SUM(Z461:Z462)-Z463))*B450</f>
        <v>0</v>
      </c>
      <c r="AA464" s="345">
        <f>AVERAGE(SUM(AA461:AA462),(SUM(AA461:AA462)-AA463))*B450</f>
        <v>0</v>
      </c>
    </row>
    <row r="465" spans="1:27" ht="16.5" thickBot="1">
      <c r="A465" s="92"/>
      <c r="B465" s="93"/>
      <c r="C465" s="93"/>
      <c r="D465" s="93"/>
      <c r="E465" s="93"/>
      <c r="F465" s="93"/>
      <c r="G465" s="93"/>
      <c r="H465" s="93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</row>
    <row r="466" spans="1:27" ht="47.25">
      <c r="A466" s="88" t="s">
        <v>29</v>
      </c>
      <c r="B466" s="78" t="s">
        <v>553</v>
      </c>
      <c r="C466" s="79">
        <f>C460</f>
        <v>2017</v>
      </c>
      <c r="D466" s="80">
        <f t="shared" ref="D466" si="1360">C466+1</f>
        <v>2018</v>
      </c>
      <c r="E466" s="80">
        <f t="shared" ref="E466" si="1361">D466+1</f>
        <v>2019</v>
      </c>
      <c r="F466" s="80">
        <f t="shared" ref="F466" si="1362">E466+1</f>
        <v>2020</v>
      </c>
      <c r="G466" s="80">
        <f t="shared" ref="G466" si="1363">F466+1</f>
        <v>2021</v>
      </c>
      <c r="H466" s="80">
        <f t="shared" ref="H466" si="1364">G466+1</f>
        <v>2022</v>
      </c>
      <c r="I466" s="80">
        <f t="shared" ref="I466" si="1365">H466+1</f>
        <v>2023</v>
      </c>
      <c r="J466" s="80">
        <f t="shared" ref="J466" si="1366">I466+1</f>
        <v>2024</v>
      </c>
      <c r="K466" s="80">
        <f t="shared" ref="K466" si="1367">J466+1</f>
        <v>2025</v>
      </c>
      <c r="L466" s="80">
        <f t="shared" ref="L466" si="1368">K466+1</f>
        <v>2026</v>
      </c>
      <c r="M466" s="80">
        <f t="shared" ref="M466" si="1369">L466+1</f>
        <v>2027</v>
      </c>
      <c r="N466" s="80">
        <f t="shared" ref="N466" si="1370">M466+1</f>
        <v>2028</v>
      </c>
      <c r="O466" s="80">
        <f t="shared" ref="O466" si="1371">N466+1</f>
        <v>2029</v>
      </c>
      <c r="P466" s="80">
        <f t="shared" ref="P466" si="1372">O466+1</f>
        <v>2030</v>
      </c>
      <c r="Q466" s="80">
        <f t="shared" ref="Q466" si="1373">P466+1</f>
        <v>2031</v>
      </c>
      <c r="R466" s="80">
        <f t="shared" ref="R466" si="1374">Q466+1</f>
        <v>2032</v>
      </c>
      <c r="S466" s="80">
        <f t="shared" ref="S466" si="1375">R466+1</f>
        <v>2033</v>
      </c>
      <c r="T466" s="80">
        <f t="shared" ref="T466" si="1376">S466+1</f>
        <v>2034</v>
      </c>
      <c r="U466" s="80">
        <f t="shared" ref="U466" si="1377">T466+1</f>
        <v>2035</v>
      </c>
      <c r="V466" s="80">
        <f t="shared" ref="V466" si="1378">U466+1</f>
        <v>2036</v>
      </c>
      <c r="W466" s="80">
        <f t="shared" ref="W466" si="1379">V466+1</f>
        <v>2037</v>
      </c>
      <c r="X466" s="80">
        <f t="shared" ref="X466" si="1380">W466+1</f>
        <v>2038</v>
      </c>
      <c r="Y466" s="80">
        <f t="shared" ref="Y466" si="1381">X466+1</f>
        <v>2039</v>
      </c>
      <c r="Z466" s="80">
        <f t="shared" ref="Z466" si="1382">Y466+1</f>
        <v>2040</v>
      </c>
      <c r="AA466" s="80">
        <f t="shared" ref="AA466" si="1383">Z466+1</f>
        <v>2041</v>
      </c>
    </row>
    <row r="467" spans="1:27">
      <c r="A467" s="94" t="s">
        <v>30</v>
      </c>
      <c r="B467" s="95"/>
      <c r="C467" s="95">
        <f>C458*B436</f>
        <v>0</v>
      </c>
      <c r="D467" s="95">
        <f>D458*B436</f>
        <v>0</v>
      </c>
      <c r="E467" s="95">
        <f>E458*B436</f>
        <v>83084.745762711871</v>
      </c>
      <c r="F467" s="95">
        <f>F458*B436</f>
        <v>86740.474576271197</v>
      </c>
      <c r="G467" s="95">
        <f>G458*B436</f>
        <v>90557.055457627139</v>
      </c>
      <c r="H467" s="95">
        <f>H458*B436</f>
        <v>94541.565897762732</v>
      </c>
      <c r="I467" s="95">
        <f>I458*B436</f>
        <v>98701.394797264293</v>
      </c>
      <c r="J467" s="95">
        <f>J458*B436</f>
        <v>103044.25616834393</v>
      </c>
      <c r="K467" s="95">
        <f>K458*B436</f>
        <v>107578.20343975106</v>
      </c>
      <c r="L467" s="95">
        <f>L458*B436</f>
        <v>112311.64439110011</v>
      </c>
      <c r="M467" s="95">
        <f>M458*B436</f>
        <v>117253.35674430852</v>
      </c>
      <c r="N467" s="95">
        <f>N458*B436</f>
        <v>122412.5044410581</v>
      </c>
      <c r="O467" s="95">
        <f>O458*B436</f>
        <v>127798.65463646466</v>
      </c>
      <c r="P467" s="95">
        <f>P458*B436</f>
        <v>133421.79544046911</v>
      </c>
      <c r="Q467" s="95">
        <f>Q458*B436</f>
        <v>139292.35443984976</v>
      </c>
      <c r="R467" s="95">
        <f>R458*B436</f>
        <v>145421.21803520314</v>
      </c>
      <c r="S467" s="95">
        <f>S458*B436</f>
        <v>151819.7516287521</v>
      </c>
      <c r="T467" s="95">
        <f>T458*B436</f>
        <v>158499.82070041719</v>
      </c>
      <c r="U467" s="95">
        <f>U458*B436</f>
        <v>165473.81281123555</v>
      </c>
      <c r="V467" s="95">
        <f>V458*B436</f>
        <v>172754.66057492991</v>
      </c>
      <c r="W467" s="95">
        <f>W458*B436</f>
        <v>180355.86564022684</v>
      </c>
      <c r="X467" s="95">
        <f>X458*B436</f>
        <v>188291.52372839683</v>
      </c>
      <c r="Y467" s="95">
        <f>Y458*B436</f>
        <v>196576.35077244631</v>
      </c>
      <c r="Z467" s="95">
        <f>Z458*B436</f>
        <v>205225.71020643396</v>
      </c>
      <c r="AA467" s="95">
        <f>AA458*B436</f>
        <v>214255.64145551706</v>
      </c>
    </row>
    <row r="468" spans="1:27">
      <c r="A468" s="89" t="s">
        <v>31</v>
      </c>
      <c r="B468" s="96"/>
      <c r="C468" s="96">
        <f>SUM(C469:C474)</f>
        <v>-3190.5567213559325</v>
      </c>
      <c r="D468" s="96">
        <f t="shared" ref="D468:AA468" si="1384">SUM(D469:D474)</f>
        <v>-3330.9412170955943</v>
      </c>
      <c r="E468" s="96">
        <f t="shared" si="1384"/>
        <v>-3477.5026306478007</v>
      </c>
      <c r="F468" s="96">
        <f t="shared" si="1384"/>
        <v>-17327.687887639247</v>
      </c>
      <c r="G468" s="96">
        <f t="shared" si="1384"/>
        <v>-17015.114064299894</v>
      </c>
      <c r="H468" s="96">
        <f t="shared" si="1384"/>
        <v>-16709.568913637562</v>
      </c>
      <c r="I468" s="96">
        <f t="shared" si="1384"/>
        <v>-16411.361697250046</v>
      </c>
      <c r="J468" s="96">
        <f t="shared" si="1384"/>
        <v>-16120.815284245429</v>
      </c>
      <c r="K468" s="96">
        <f t="shared" si="1384"/>
        <v>-15838.266749972569</v>
      </c>
      <c r="L468" s="96">
        <f t="shared" si="1384"/>
        <v>-15564.068001095653</v>
      </c>
      <c r="M468" s="96">
        <f t="shared" si="1384"/>
        <v>-15298.58642817211</v>
      </c>
      <c r="N468" s="96">
        <f t="shared" si="1384"/>
        <v>-15042.205586943885</v>
      </c>
      <c r="O468" s="96">
        <f t="shared" si="1384"/>
        <v>-14795.325909605577</v>
      </c>
      <c r="P468" s="96">
        <f t="shared" si="1384"/>
        <v>-14558.365447368335</v>
      </c>
      <c r="Q468" s="96">
        <f t="shared" si="1384"/>
        <v>-14331.76064569661</v>
      </c>
      <c r="R468" s="96">
        <f t="shared" si="1384"/>
        <v>-14115.967153655281</v>
      </c>
      <c r="S468" s="96">
        <f t="shared" si="1384"/>
        <v>-13911.460668868092</v>
      </c>
      <c r="T468" s="96">
        <f t="shared" si="1384"/>
        <v>-13718.737819654223</v>
      </c>
      <c r="U468" s="96">
        <f t="shared" si="1384"/>
        <v>-14010.633470159686</v>
      </c>
      <c r="V468" s="96">
        <f t="shared" si="1384"/>
        <v>-14315.37252928739</v>
      </c>
      <c r="W468" s="96">
        <f t="shared" si="1384"/>
        <v>-14633.520107016713</v>
      </c>
      <c r="X468" s="96">
        <f t="shared" si="1384"/>
        <v>-14965.666178166128</v>
      </c>
      <c r="Y468" s="96">
        <f t="shared" si="1384"/>
        <v>-15312.426676446117</v>
      </c>
      <c r="Z468" s="96">
        <f t="shared" si="1384"/>
        <v>-15674.44463665042</v>
      </c>
      <c r="AA468" s="96">
        <f t="shared" si="1384"/>
        <v>-16052.391387103718</v>
      </c>
    </row>
    <row r="469" spans="1:27">
      <c r="A469" s="97" t="s">
        <v>32</v>
      </c>
      <c r="B469" s="96"/>
      <c r="C469" s="96">
        <f>-IF(C455&lt;=B438,0,B437*(1+C457)*B436)</f>
        <v>-2927.3094671186445</v>
      </c>
      <c r="D469" s="96">
        <f>-IF(D455&lt;=B438,0,B437*(1+D457)*B436)</f>
        <v>-3056.1110836718653</v>
      </c>
      <c r="E469" s="96">
        <f>-IF(E455&lt;=B438,0,B437*(1+E457)*B436)</f>
        <v>-3190.5799713534279</v>
      </c>
      <c r="F469" s="96">
        <f>-IF(F455&lt;=B438,0,B437*(1+F457)*B436)</f>
        <v>-3330.9654900929791</v>
      </c>
      <c r="G469" s="96">
        <f>-IF(G455&lt;=B438,0,B437*(1+G457)*B436)</f>
        <v>-3477.5279716570699</v>
      </c>
      <c r="H469" s="96">
        <f>-IF(H455&lt;=B438,0,B437*(1+H457)*B436)</f>
        <v>-3630.5392024099815</v>
      </c>
      <c r="I469" s="96">
        <f>-IF(I455&lt;=B438,0,B437*(1+I457)*B436)</f>
        <v>-3790.282927316021</v>
      </c>
      <c r="J469" s="96">
        <f>-IF(J455&lt;=B438,0,B437*(1+J457)*B436)</f>
        <v>-3957.0553761179262</v>
      </c>
      <c r="K469" s="96">
        <f>-IF(K455&lt;=B438,0,B437*(1+K457)*B436)</f>
        <v>-4131.1658126671146</v>
      </c>
      <c r="L469" s="96">
        <f>-IF(L455&lt;=B438,0,B437*(1+L457)*B436)</f>
        <v>-4312.9371084244676</v>
      </c>
      <c r="M469" s="96">
        <f>-IF(M455&lt;=B438,0,B437*(1+M457)*B436)</f>
        <v>-4502.706341195144</v>
      </c>
      <c r="N469" s="96">
        <f>-IF(N455&lt;=B438,0,B437*(1+N457)*B436)</f>
        <v>-4700.8254202077305</v>
      </c>
      <c r="O469" s="96">
        <f>-IF(O455&lt;=B438,0,B437*(1+O457)*B436)</f>
        <v>-4907.6617386968719</v>
      </c>
      <c r="P469" s="96">
        <f>-IF(P455&lt;=B438,0,B437*(1+P457)*B436)</f>
        <v>-5123.5988551995342</v>
      </c>
      <c r="Q469" s="96">
        <f>-IF(Q455&lt;=B438,0,B437*(1+Q457)*B436)</f>
        <v>-5349.0372048283134</v>
      </c>
      <c r="R469" s="96">
        <f>-IF(R455&lt;=B438,0,B437*(1+R457)*B436)</f>
        <v>-5584.394841840759</v>
      </c>
      <c r="S469" s="96">
        <f>-IF(S455&lt;=B438,0,B437*(1+S457)*B436)</f>
        <v>-5830.1082148817532</v>
      </c>
      <c r="T469" s="96">
        <f>-IF(T455&lt;=B438,0,B437*(1+T457)*B436)</f>
        <v>-6086.6329763365511</v>
      </c>
      <c r="U469" s="96">
        <f>-IF(U455&lt;=B438,0,B437*(1+U457)*B436)</f>
        <v>-6354.4448272953587</v>
      </c>
      <c r="V469" s="96">
        <f>-IF(V455&lt;=B438,0,B437*(1+V457)*B436)</f>
        <v>-6634.0403996963551</v>
      </c>
      <c r="W469" s="96">
        <f>-IF(W455&lt;=B438,0,B437*(1+W457)*B436)</f>
        <v>-6925.9381772829956</v>
      </c>
      <c r="X469" s="96">
        <f>-IF(X455&lt;=B438,0,B437*(1+X457)*B436)</f>
        <v>-7230.6794570834472</v>
      </c>
      <c r="Y469" s="96">
        <f>-IF(Y455&lt;=B438,0,B437*(1+Y457)*B436)</f>
        <v>-7548.8293531951194</v>
      </c>
      <c r="Z469" s="96">
        <f>-IF(Z455&lt;=B438,0,B437*(1+Z457)*B436)</f>
        <v>-7880.9778447357039</v>
      </c>
      <c r="AA469" s="96">
        <f>-IF(AA455&lt;=B438,0,B437*(1+AA457)*B436)</f>
        <v>-8227.7408699040752</v>
      </c>
    </row>
    <row r="470" spans="1:27">
      <c r="A470" s="97" t="str">
        <f>A440</f>
        <v>Прочие расходы при эксплуатации объекта, руб. без НДС</v>
      </c>
      <c r="B470" s="96"/>
      <c r="C470" s="96">
        <f>-IF(C455&lt;=B441,0,B440*(1+C457)*B436)</f>
        <v>-263.24725423728819</v>
      </c>
      <c r="D470" s="96">
        <f>-IF(D455&lt;=B441,0,B440*(1+D457)*B436)</f>
        <v>-274.83013342372891</v>
      </c>
      <c r="E470" s="96">
        <f>-IF(E455&lt;=B441,0,B440*(1+E457)*B436)</f>
        <v>-286.92265929437298</v>
      </c>
      <c r="F470" s="96">
        <f>-IF(F455&lt;=B441,0,B440*(1+F457)*B436)</f>
        <v>-299.54725630332547</v>
      </c>
      <c r="G470" s="96">
        <f>-IF(G455&lt;=B441,0,B440*(1+G457)*B436)</f>
        <v>-312.72733558067176</v>
      </c>
      <c r="H470" s="96">
        <f>-IF(H455&lt;=B441,0,B440*(1+H457)*B436)</f>
        <v>-326.48733834622135</v>
      </c>
      <c r="I470" s="96">
        <f>-IF(I455&lt;=B441,0,B440*(1+I457)*B436)</f>
        <v>-340.85278123345512</v>
      </c>
      <c r="J470" s="96">
        <f>-IF(J455&lt;=B441,0,B440*(1+J457)*B436)</f>
        <v>-355.85030360772714</v>
      </c>
      <c r="K470" s="96">
        <f>-IF(K455&lt;=B441,0,B440*(1+K457)*B436)</f>
        <v>-371.50771696646711</v>
      </c>
      <c r="L470" s="96">
        <f>-IF(L455&lt;=B441,0,B440*(1+L457)*B436)</f>
        <v>-387.85405651299169</v>
      </c>
      <c r="M470" s="96">
        <f>-IF(M455&lt;=B441,0,B440*(1+M457)*B436)</f>
        <v>-404.9196349995633</v>
      </c>
      <c r="N470" s="96">
        <f>-IF(N455&lt;=B441,0,B440*(1+N457)*B436)</f>
        <v>-422.73609893954415</v>
      </c>
      <c r="O470" s="96">
        <f>-IF(O455&lt;=B441,0,B440*(1+O457)*B436)</f>
        <v>-441.3364872928841</v>
      </c>
      <c r="P470" s="96">
        <f>-IF(P455&lt;=B441,0,B440*(1+P457)*B436)</f>
        <v>-460.755292733771</v>
      </c>
      <c r="Q470" s="96">
        <f>-IF(Q455&lt;=B441,0,B440*(1+Q457)*B436)</f>
        <v>-481.028525614057</v>
      </c>
      <c r="R470" s="96">
        <f>-IF(R455&lt;=B441,0,B440*(1+R457)*B436)</f>
        <v>-502.19378074107544</v>
      </c>
      <c r="S470" s="96">
        <f>-IF(S455&lt;=B441,0,B440*(1+S457)*B436)</f>
        <v>-524.29030709368283</v>
      </c>
      <c r="T470" s="96">
        <f>-IF(T455&lt;=B441,0,B440*(1+T457)*B436)</f>
        <v>-547.35908060580493</v>
      </c>
      <c r="U470" s="96">
        <f>-IF(U455&lt;=B441,0,B440*(1+U457)*B436)</f>
        <v>-571.44288015246025</v>
      </c>
      <c r="V470" s="96">
        <f>-IF(V455&lt;=B441,0,B440*(1+V457)*B436)</f>
        <v>-596.58636687916862</v>
      </c>
      <c r="W470" s="96">
        <f>-IF(W455&lt;=B441,0,B440*(1+W457)*B436)</f>
        <v>-622.83616702185213</v>
      </c>
      <c r="X470" s="96">
        <f>-IF(X455&lt;=B441,0,B440*(1+X457)*B436)</f>
        <v>-650.24095837081359</v>
      </c>
      <c r="Y470" s="96">
        <f>-IF(Y455&lt;=B441,0,B440*(1+Y457)*B436)</f>
        <v>-678.85156053912942</v>
      </c>
      <c r="Z470" s="96">
        <f>-IF(Z455&lt;=B441,0,B440*(1+Z457)*B436)</f>
        <v>-708.72102920285113</v>
      </c>
      <c r="AA470" s="96">
        <f>-IF(AA455&lt;=B441,0,B440*(1+AA457)*B436)</f>
        <v>-739.90475448777647</v>
      </c>
    </row>
    <row r="471" spans="1:27">
      <c r="A471" s="97" t="s">
        <v>290</v>
      </c>
      <c r="B471" s="96"/>
      <c r="C471" s="96"/>
      <c r="D471" s="96"/>
      <c r="E471" s="96"/>
      <c r="F471" s="96"/>
      <c r="G471" s="96"/>
      <c r="H471" s="96"/>
      <c r="I471" s="96"/>
      <c r="J471" s="96"/>
      <c r="K471" s="96"/>
      <c r="L471" s="96"/>
      <c r="M471" s="96"/>
      <c r="N471" s="96"/>
      <c r="O471" s="96"/>
      <c r="P471" s="96"/>
      <c r="Q471" s="96"/>
      <c r="R471" s="96"/>
      <c r="S471" s="96"/>
      <c r="T471" s="96"/>
      <c r="U471" s="96"/>
      <c r="V471" s="96"/>
      <c r="W471" s="96"/>
      <c r="X471" s="96"/>
      <c r="Y471" s="96"/>
      <c r="Z471" s="96"/>
      <c r="AA471" s="96"/>
    </row>
    <row r="472" spans="1:27">
      <c r="A472" s="97" t="s">
        <v>290</v>
      </c>
      <c r="B472" s="96"/>
      <c r="C472" s="96"/>
      <c r="D472" s="96"/>
      <c r="E472" s="96"/>
      <c r="F472" s="96"/>
      <c r="G472" s="96"/>
      <c r="H472" s="96"/>
      <c r="I472" s="96"/>
      <c r="J472" s="96"/>
      <c r="K472" s="96"/>
      <c r="L472" s="96"/>
      <c r="M472" s="96"/>
      <c r="N472" s="96"/>
      <c r="O472" s="96"/>
      <c r="P472" s="96"/>
      <c r="Q472" s="96"/>
      <c r="R472" s="96"/>
      <c r="S472" s="96"/>
      <c r="T472" s="96"/>
      <c r="U472" s="96"/>
      <c r="V472" s="96"/>
      <c r="W472" s="96"/>
      <c r="X472" s="96"/>
      <c r="Y472" s="96"/>
      <c r="Z472" s="96"/>
      <c r="AA472" s="96"/>
    </row>
    <row r="473" spans="1:27">
      <c r="A473" s="97" t="s">
        <v>290</v>
      </c>
      <c r="B473" s="96"/>
      <c r="C473" s="96"/>
      <c r="D473" s="96"/>
      <c r="E473" s="96"/>
      <c r="F473" s="96"/>
      <c r="G473" s="96"/>
      <c r="H473" s="96"/>
      <c r="I473" s="96"/>
      <c r="J473" s="96"/>
      <c r="K473" s="96"/>
      <c r="L473" s="96"/>
      <c r="M473" s="96"/>
      <c r="N473" s="96"/>
      <c r="O473" s="96"/>
      <c r="P473" s="96"/>
      <c r="Q473" s="96"/>
      <c r="R473" s="96"/>
      <c r="S473" s="96"/>
      <c r="T473" s="96"/>
      <c r="U473" s="96"/>
      <c r="V473" s="96"/>
      <c r="W473" s="96"/>
      <c r="X473" s="96"/>
      <c r="Y473" s="96"/>
      <c r="Z473" s="96"/>
      <c r="AA473" s="96"/>
    </row>
    <row r="474" spans="1:27">
      <c r="A474" s="97" t="s">
        <v>33</v>
      </c>
      <c r="B474" s="96"/>
      <c r="C474" s="96">
        <f>-((B433+B434)*B436+(B433+B434)*B436+SUM(B476:C476))/2*2.2%*0</f>
        <v>0</v>
      </c>
      <c r="D474" s="96">
        <f>-((B433+B434)*B436+(B433+B434)*B436+SUM(B476:D476))/2*2.2%*0</f>
        <v>0</v>
      </c>
      <c r="E474" s="96">
        <f>-((B433+B434)*B436+(B433+B434)*B436+SUM(B476:E476))/2*2.2%*0</f>
        <v>0</v>
      </c>
      <c r="F474" s="96">
        <f>-((B433+B434)*B436+(B433+B434)*B436+SUM(B476:F476))/2*2.2%</f>
        <v>-13697.175141242942</v>
      </c>
      <c r="G474" s="96">
        <f>-((B433+B434)*B436+(B433+B434)*B436+SUM(B476:G476))/2*2.2%</f>
        <v>-13224.858757062151</v>
      </c>
      <c r="H474" s="96">
        <f>-((B433+B434)*B436+(B433+B434)*B436+SUM(B476:H476))/2*2.2%</f>
        <v>-12752.542372881358</v>
      </c>
      <c r="I474" s="96">
        <f>-((B433+B434)*B436+(B433+B434)*B436+SUM(B476:I476))/2*2.2%</f>
        <v>-12280.225988700568</v>
      </c>
      <c r="J474" s="96">
        <f>-((B433+B434)*B436+(B433+B434)*B436+SUM(B476:J476))/2*2.2%</f>
        <v>-11807.909604519777</v>
      </c>
      <c r="K474" s="96">
        <f>-((B433+B434)*B436+(B433+B434)*B436+SUM(B476:K476))/2*2.2%</f>
        <v>-11335.593220338986</v>
      </c>
      <c r="L474" s="96">
        <f>-((B433+B434)*B436+(B433+B434)*B436+SUM(B476:L476))/2*2.2%</f>
        <v>-10863.276836158195</v>
      </c>
      <c r="M474" s="96">
        <f>-((B433+B434)*B436+(B433+B434)*B436+SUM(B476:M476))/2*2.2%</f>
        <v>-10390.960451977402</v>
      </c>
      <c r="N474" s="96">
        <f>-((B433+B434)*B436+(B433+B434)*B436+SUM(B476:N476))/2*2.2%</f>
        <v>-9918.6440677966111</v>
      </c>
      <c r="O474" s="96">
        <f>-((B433+B434)*B436+(B433+B434)*B436+SUM(B476:O476))/2*2.2%</f>
        <v>-9446.327683615822</v>
      </c>
      <c r="P474" s="96">
        <f>-((B433+B434)*B436+(B433+B434)*B436+SUM(B476:P476))/2*2.2%</f>
        <v>-8974.0112994350293</v>
      </c>
      <c r="Q474" s="96">
        <f>-((B433+B434)*B436+(B433+B434)*B436+SUM(B476:Q476))/2*2.2%</f>
        <v>-8501.6949152542384</v>
      </c>
      <c r="R474" s="96">
        <f>-((B433+B434)*B436+(B433+B434)*B436+SUM(B476:R476))/2*2.2%</f>
        <v>-8029.3785310734474</v>
      </c>
      <c r="S474" s="96">
        <f>-((B433+B434)*B436+(B433+B434)*B436+SUM(B476:S476))/2*2.2%</f>
        <v>-7557.0621468926565</v>
      </c>
      <c r="T474" s="96">
        <f>-((B433+B434)*B436+(B433+B434)*B436+SUM(B476:T476))/2*2.2%</f>
        <v>-7084.7457627118665</v>
      </c>
      <c r="U474" s="96">
        <f>-((B433+B434)*B436+(B433+B434)*B436+SUM(B476:U476))/2*2.2%</f>
        <v>-7084.7457627118665</v>
      </c>
      <c r="V474" s="96">
        <f>-((B433+B434)*B436+(B433+B434)*B436+SUM(B476:V476))/2*2.2%</f>
        <v>-7084.7457627118665</v>
      </c>
      <c r="W474" s="96">
        <f>-((B433+B434)*B436+(B433+B434)*B436+SUM(B476:W476))/2*2.2%</f>
        <v>-7084.7457627118665</v>
      </c>
      <c r="X474" s="96">
        <f>-((B433+B434)*B436+(B433+B434)*B436+SUM(B476:X476))/2*2.2%</f>
        <v>-7084.7457627118665</v>
      </c>
      <c r="Y474" s="96">
        <f>-((B433+B434)*B436+(B433+B434)*B436+SUM(B476:Y476))/2*2.2%</f>
        <v>-7084.7457627118665</v>
      </c>
      <c r="Z474" s="96">
        <f>-((B433+B434)*B436+(B433+B434)*B436+SUM(B476:Z476))/2*2.2%</f>
        <v>-7084.7457627118665</v>
      </c>
      <c r="AA474" s="96">
        <f>-((B433+B434)*B436+(B433+B434)*B436+SUM(B476:AA476))/2*2.2%</f>
        <v>-7084.7457627118665</v>
      </c>
    </row>
    <row r="475" spans="1:27">
      <c r="A475" s="98" t="s">
        <v>114</v>
      </c>
      <c r="B475" s="95"/>
      <c r="C475" s="95">
        <f t="shared" ref="C475:AA475" si="1385">C467+C468</f>
        <v>-3190.5567213559325</v>
      </c>
      <c r="D475" s="95">
        <f t="shared" si="1385"/>
        <v>-3330.9412170955943</v>
      </c>
      <c r="E475" s="95">
        <f t="shared" si="1385"/>
        <v>79607.243132064075</v>
      </c>
      <c r="F475" s="95">
        <f t="shared" si="1385"/>
        <v>69412.786688631953</v>
      </c>
      <c r="G475" s="95">
        <f t="shared" si="1385"/>
        <v>73541.941393327244</v>
      </c>
      <c r="H475" s="95">
        <f t="shared" si="1385"/>
        <v>77831.996984125173</v>
      </c>
      <c r="I475" s="95">
        <f t="shared" si="1385"/>
        <v>82290.033100014247</v>
      </c>
      <c r="J475" s="95">
        <f t="shared" si="1385"/>
        <v>86923.440884098498</v>
      </c>
      <c r="K475" s="95">
        <f t="shared" si="1385"/>
        <v>91739.936689778493</v>
      </c>
      <c r="L475" s="95">
        <f t="shared" si="1385"/>
        <v>96747.576390004455</v>
      </c>
      <c r="M475" s="95">
        <f t="shared" si="1385"/>
        <v>101954.7703161364</v>
      </c>
      <c r="N475" s="95">
        <f t="shared" si="1385"/>
        <v>107370.29885411423</v>
      </c>
      <c r="O475" s="95">
        <f t="shared" si="1385"/>
        <v>113003.32872685909</v>
      </c>
      <c r="P475" s="95">
        <f t="shared" si="1385"/>
        <v>118863.42999310078</v>
      </c>
      <c r="Q475" s="95">
        <f t="shared" si="1385"/>
        <v>124960.59379415316</v>
      </c>
      <c r="R475" s="95">
        <f t="shared" si="1385"/>
        <v>131305.25088154786</v>
      </c>
      <c r="S475" s="95">
        <f t="shared" si="1385"/>
        <v>137908.29095988401</v>
      </c>
      <c r="T475" s="95">
        <f t="shared" si="1385"/>
        <v>144781.08288076296</v>
      </c>
      <c r="U475" s="95">
        <f t="shared" si="1385"/>
        <v>151463.17934107585</v>
      </c>
      <c r="V475" s="95">
        <f t="shared" si="1385"/>
        <v>158439.28804564252</v>
      </c>
      <c r="W475" s="95">
        <f t="shared" si="1385"/>
        <v>165722.34553321011</v>
      </c>
      <c r="X475" s="95">
        <f t="shared" si="1385"/>
        <v>173325.85755023069</v>
      </c>
      <c r="Y475" s="95">
        <f t="shared" si="1385"/>
        <v>181263.92409600021</v>
      </c>
      <c r="Z475" s="95">
        <f t="shared" si="1385"/>
        <v>189551.26556978354</v>
      </c>
      <c r="AA475" s="95">
        <f t="shared" si="1385"/>
        <v>198203.25006841336</v>
      </c>
    </row>
    <row r="476" spans="1:27">
      <c r="A476" s="97" t="s">
        <v>278</v>
      </c>
      <c r="B476" s="96"/>
      <c r="C476" s="96">
        <v>0</v>
      </c>
      <c r="D476" s="96">
        <f>C476</f>
        <v>0</v>
      </c>
      <c r="E476" s="96">
        <f>D476</f>
        <v>0</v>
      </c>
      <c r="F476" s="96">
        <f>IF(B433-ABS(SUM(B476:E476))&gt;0,-B433/B435,0)</f>
        <v>-42937.853107344636</v>
      </c>
      <c r="G476" s="96">
        <f>IF(B433-ABS(SUM(B476:F476))&gt;0,-B433/B435,0)</f>
        <v>-42937.853107344636</v>
      </c>
      <c r="H476" s="96">
        <f>IF(B433-ABS(SUM(B476:G476))&gt;0,-B433/B435,0)</f>
        <v>-42937.853107344636</v>
      </c>
      <c r="I476" s="96">
        <f>IF(B433-ABS(SUM(B476:H476))&gt;0,-B433/B435,0)</f>
        <v>-42937.853107344636</v>
      </c>
      <c r="J476" s="96">
        <f>IF(B433-ABS(SUM(B476:I476))&gt;0,-B433/B435,0)</f>
        <v>-42937.853107344636</v>
      </c>
      <c r="K476" s="96">
        <f>IF(B433-ABS(SUM(B476:J476))&gt;0,-B433/B435,0)</f>
        <v>-42937.853107344636</v>
      </c>
      <c r="L476" s="96">
        <f>IF(B433-ABS(SUM(B476:K476))&gt;0,-B433/B435,0)</f>
        <v>-42937.853107344636</v>
      </c>
      <c r="M476" s="96">
        <f>IF(B433-ABS(SUM(B476:L476))&gt;0,-B433/B435,0)</f>
        <v>-42937.853107344636</v>
      </c>
      <c r="N476" s="96">
        <f>IF(B433-ABS(SUM(B476:M476))&gt;0,-B433/B435,0)</f>
        <v>-42937.853107344636</v>
      </c>
      <c r="O476" s="96">
        <f>IF(B433-ABS(SUM(B476:N476))&gt;0,-B433/B435,0)</f>
        <v>-42937.853107344636</v>
      </c>
      <c r="P476" s="96">
        <f>IF(B433-ABS(SUM(B476:O476))&gt;0,-B433/B435,0)</f>
        <v>-42937.853107344636</v>
      </c>
      <c r="Q476" s="96">
        <f>IF(B433-ABS(SUM(B476:P476))&gt;0,-B433/B435,0)</f>
        <v>-42937.853107344636</v>
      </c>
      <c r="R476" s="96">
        <f>IF(B433-ABS(SUM(B476:Q476))&gt;0,-B433/B435,0)</f>
        <v>-42937.853107344636</v>
      </c>
      <c r="S476" s="96">
        <f>IF(B433-ABS(SUM(B476:R476))&gt;0,-B433/B435,0)</f>
        <v>-42937.853107344636</v>
      </c>
      <c r="T476" s="96">
        <f>IF(B433-ABS(SUM(B476:S476))&gt;0,-B433/B435,0)</f>
        <v>-42937.853107344636</v>
      </c>
      <c r="U476" s="96">
        <f>IF(B433-ABS(SUM(B476:T476))&gt;0,-B433/B435,0)</f>
        <v>0</v>
      </c>
      <c r="V476" s="96">
        <f>IF(B433-ABS(SUM(B476:U476))&gt;0,-B433/B435,0)</f>
        <v>0</v>
      </c>
      <c r="W476" s="96">
        <f>IF(B433-ABS(SUM(B476:V476))&gt;0,-B433/B435,0)</f>
        <v>0</v>
      </c>
      <c r="X476" s="96">
        <f>IF(B433-ABS(SUM(B476:W476))&gt;0,-B433/B435,0)</f>
        <v>0</v>
      </c>
      <c r="Y476" s="96">
        <f>IF(B433-ABS(SUM(B476:X476))&gt;0,-B433/B435,0)</f>
        <v>0</v>
      </c>
      <c r="Z476" s="96">
        <f>IF(B433-ABS(SUM(B476:Y476))&gt;0,-B433/B435,0)</f>
        <v>0</v>
      </c>
      <c r="AA476" s="96">
        <f>IF(B433-ABS(SUM(B476:Z476))&gt;0,-B433/B435,0)</f>
        <v>0</v>
      </c>
    </row>
    <row r="477" spans="1:27">
      <c r="A477" s="98" t="s">
        <v>34</v>
      </c>
      <c r="B477" s="95"/>
      <c r="C477" s="95">
        <f t="shared" ref="C477:AA477" si="1386">C475+C476</f>
        <v>-3190.5567213559325</v>
      </c>
      <c r="D477" s="95">
        <f t="shared" si="1386"/>
        <v>-3330.9412170955943</v>
      </c>
      <c r="E477" s="95">
        <f t="shared" si="1386"/>
        <v>79607.243132064075</v>
      </c>
      <c r="F477" s="95">
        <f t="shared" si="1386"/>
        <v>26474.933581287318</v>
      </c>
      <c r="G477" s="95">
        <f t="shared" si="1386"/>
        <v>30604.088285982609</v>
      </c>
      <c r="H477" s="95">
        <f t="shared" si="1386"/>
        <v>34894.143876780538</v>
      </c>
      <c r="I477" s="95">
        <f t="shared" si="1386"/>
        <v>39352.179992669611</v>
      </c>
      <c r="J477" s="95">
        <f t="shared" si="1386"/>
        <v>43985.587776753862</v>
      </c>
      <c r="K477" s="95">
        <f t="shared" si="1386"/>
        <v>48802.083582433857</v>
      </c>
      <c r="L477" s="95">
        <f t="shared" si="1386"/>
        <v>53809.723282659819</v>
      </c>
      <c r="M477" s="95">
        <f t="shared" si="1386"/>
        <v>59016.917208791769</v>
      </c>
      <c r="N477" s="95">
        <f t="shared" si="1386"/>
        <v>64432.44574676959</v>
      </c>
      <c r="O477" s="95">
        <f t="shared" si="1386"/>
        <v>70065.475619514458</v>
      </c>
      <c r="P477" s="95">
        <f t="shared" si="1386"/>
        <v>75925.576885756149</v>
      </c>
      <c r="Q477" s="95">
        <f t="shared" si="1386"/>
        <v>82022.740686808524</v>
      </c>
      <c r="R477" s="95">
        <f t="shared" si="1386"/>
        <v>88367.397774203229</v>
      </c>
      <c r="S477" s="95">
        <f t="shared" si="1386"/>
        <v>94970.437852539369</v>
      </c>
      <c r="T477" s="95">
        <f t="shared" si="1386"/>
        <v>101843.22977341832</v>
      </c>
      <c r="U477" s="95">
        <f t="shared" si="1386"/>
        <v>151463.17934107585</v>
      </c>
      <c r="V477" s="95">
        <f t="shared" si="1386"/>
        <v>158439.28804564252</v>
      </c>
      <c r="W477" s="95">
        <f t="shared" si="1386"/>
        <v>165722.34553321011</v>
      </c>
      <c r="X477" s="95">
        <f t="shared" si="1386"/>
        <v>173325.85755023069</v>
      </c>
      <c r="Y477" s="95">
        <f t="shared" si="1386"/>
        <v>181263.92409600021</v>
      </c>
      <c r="Z477" s="95">
        <f t="shared" si="1386"/>
        <v>189551.26556978354</v>
      </c>
      <c r="AA477" s="95">
        <f t="shared" si="1386"/>
        <v>198203.25006841336</v>
      </c>
    </row>
    <row r="478" spans="1:27">
      <c r="A478" s="97" t="s">
        <v>62</v>
      </c>
      <c r="B478" s="96">
        <f t="shared" ref="B478:AA478" si="1387">-B464</f>
        <v>0</v>
      </c>
      <c r="C478" s="96">
        <f t="shared" si="1387"/>
        <v>0</v>
      </c>
      <c r="D478" s="96">
        <f t="shared" si="1387"/>
        <v>0</v>
      </c>
      <c r="E478" s="96">
        <f t="shared" si="1387"/>
        <v>0</v>
      </c>
      <c r="F478" s="96">
        <f t="shared" si="1387"/>
        <v>0</v>
      </c>
      <c r="G478" s="96">
        <f t="shared" si="1387"/>
        <v>0</v>
      </c>
      <c r="H478" s="96">
        <f t="shared" si="1387"/>
        <v>0</v>
      </c>
      <c r="I478" s="96">
        <f t="shared" si="1387"/>
        <v>0</v>
      </c>
      <c r="J478" s="96">
        <f t="shared" si="1387"/>
        <v>0</v>
      </c>
      <c r="K478" s="96">
        <f t="shared" si="1387"/>
        <v>0</v>
      </c>
      <c r="L478" s="96">
        <f t="shared" si="1387"/>
        <v>0</v>
      </c>
      <c r="M478" s="96">
        <f t="shared" si="1387"/>
        <v>0</v>
      </c>
      <c r="N478" s="96">
        <f t="shared" si="1387"/>
        <v>0</v>
      </c>
      <c r="O478" s="96">
        <f t="shared" si="1387"/>
        <v>0</v>
      </c>
      <c r="P478" s="96">
        <f t="shared" si="1387"/>
        <v>0</v>
      </c>
      <c r="Q478" s="96">
        <f t="shared" si="1387"/>
        <v>0</v>
      </c>
      <c r="R478" s="96">
        <f t="shared" si="1387"/>
        <v>0</v>
      </c>
      <c r="S478" s="96">
        <f t="shared" si="1387"/>
        <v>0</v>
      </c>
      <c r="T478" s="96">
        <f t="shared" si="1387"/>
        <v>0</v>
      </c>
      <c r="U478" s="96">
        <f t="shared" si="1387"/>
        <v>0</v>
      </c>
      <c r="V478" s="96">
        <f t="shared" si="1387"/>
        <v>0</v>
      </c>
      <c r="W478" s="96">
        <f t="shared" si="1387"/>
        <v>0</v>
      </c>
      <c r="X478" s="96">
        <f t="shared" si="1387"/>
        <v>0</v>
      </c>
      <c r="Y478" s="96">
        <f t="shared" si="1387"/>
        <v>0</v>
      </c>
      <c r="Z478" s="96">
        <f t="shared" si="1387"/>
        <v>0</v>
      </c>
      <c r="AA478" s="96">
        <f t="shared" si="1387"/>
        <v>0</v>
      </c>
    </row>
    <row r="479" spans="1:27">
      <c r="A479" s="98" t="s">
        <v>35</v>
      </c>
      <c r="B479" s="95"/>
      <c r="C479" s="95">
        <f t="shared" ref="C479:AA479" si="1388">C477+C478</f>
        <v>-3190.5567213559325</v>
      </c>
      <c r="D479" s="95">
        <f t="shared" si="1388"/>
        <v>-3330.9412170955943</v>
      </c>
      <c r="E479" s="95">
        <f t="shared" si="1388"/>
        <v>79607.243132064075</v>
      </c>
      <c r="F479" s="95">
        <f t="shared" si="1388"/>
        <v>26474.933581287318</v>
      </c>
      <c r="G479" s="95">
        <f t="shared" si="1388"/>
        <v>30604.088285982609</v>
      </c>
      <c r="H479" s="95">
        <f t="shared" si="1388"/>
        <v>34894.143876780538</v>
      </c>
      <c r="I479" s="95">
        <f t="shared" si="1388"/>
        <v>39352.179992669611</v>
      </c>
      <c r="J479" s="95">
        <f t="shared" si="1388"/>
        <v>43985.587776753862</v>
      </c>
      <c r="K479" s="95">
        <f t="shared" si="1388"/>
        <v>48802.083582433857</v>
      </c>
      <c r="L479" s="95">
        <f t="shared" si="1388"/>
        <v>53809.723282659819</v>
      </c>
      <c r="M479" s="95">
        <f t="shared" si="1388"/>
        <v>59016.917208791769</v>
      </c>
      <c r="N479" s="95">
        <f t="shared" si="1388"/>
        <v>64432.44574676959</v>
      </c>
      <c r="O479" s="95">
        <f t="shared" si="1388"/>
        <v>70065.475619514458</v>
      </c>
      <c r="P479" s="95">
        <f t="shared" si="1388"/>
        <v>75925.576885756149</v>
      </c>
      <c r="Q479" s="95">
        <f t="shared" si="1388"/>
        <v>82022.740686808524</v>
      </c>
      <c r="R479" s="95">
        <f t="shared" si="1388"/>
        <v>88367.397774203229</v>
      </c>
      <c r="S479" s="95">
        <f t="shared" si="1388"/>
        <v>94970.437852539369</v>
      </c>
      <c r="T479" s="95">
        <f t="shared" si="1388"/>
        <v>101843.22977341832</v>
      </c>
      <c r="U479" s="95">
        <f t="shared" si="1388"/>
        <v>151463.17934107585</v>
      </c>
      <c r="V479" s="95">
        <f t="shared" si="1388"/>
        <v>158439.28804564252</v>
      </c>
      <c r="W479" s="95">
        <f t="shared" si="1388"/>
        <v>165722.34553321011</v>
      </c>
      <c r="X479" s="95">
        <f t="shared" si="1388"/>
        <v>173325.85755023069</v>
      </c>
      <c r="Y479" s="95">
        <f t="shared" si="1388"/>
        <v>181263.92409600021</v>
      </c>
      <c r="Z479" s="95">
        <f t="shared" si="1388"/>
        <v>189551.26556978354</v>
      </c>
      <c r="AA479" s="95">
        <f t="shared" si="1388"/>
        <v>198203.25006841336</v>
      </c>
    </row>
    <row r="480" spans="1:27">
      <c r="A480" s="97" t="s">
        <v>100</v>
      </c>
      <c r="B480" s="96"/>
      <c r="C480" s="96">
        <f>-C479*B444</f>
        <v>638.11134427118657</v>
      </c>
      <c r="D480" s="96">
        <f>-D479*B444</f>
        <v>666.18824341911886</v>
      </c>
      <c r="E480" s="96">
        <f>-E479*B444</f>
        <v>-15921.448626412815</v>
      </c>
      <c r="F480" s="96">
        <f>-F479*B444</f>
        <v>-5294.9867162574637</v>
      </c>
      <c r="G480" s="96">
        <f>-G479*B444</f>
        <v>-6120.8176571965223</v>
      </c>
      <c r="H480" s="96">
        <f>-H479*B444</f>
        <v>-6978.8287753561081</v>
      </c>
      <c r="I480" s="96">
        <f>-I479*B444</f>
        <v>-7870.4359985339224</v>
      </c>
      <c r="J480" s="96">
        <f>-J479*B444</f>
        <v>-8797.1175553507728</v>
      </c>
      <c r="K480" s="96">
        <f>-K479*B444</f>
        <v>-9760.4167164867722</v>
      </c>
      <c r="L480" s="96">
        <f>-L479*B444</f>
        <v>-10761.944656531965</v>
      </c>
      <c r="M480" s="96">
        <f>-M479*B444</f>
        <v>-11803.383441758355</v>
      </c>
      <c r="N480" s="96">
        <f>-N479*B444</f>
        <v>-12886.489149353918</v>
      </c>
      <c r="O480" s="96">
        <f>-O479*B444</f>
        <v>-14013.095123902893</v>
      </c>
      <c r="P480" s="96">
        <f>-P479*B444</f>
        <v>-15185.115377151231</v>
      </c>
      <c r="Q480" s="96">
        <f>-Q479*B444</f>
        <v>-16404.548137361704</v>
      </c>
      <c r="R480" s="96">
        <f>-R479*B444</f>
        <v>-17673.479554840647</v>
      </c>
      <c r="S480" s="96">
        <f>-S479*B444</f>
        <v>-18994.087570507876</v>
      </c>
      <c r="T480" s="96">
        <f>-T479*B444</f>
        <v>-20368.645954683667</v>
      </c>
      <c r="U480" s="96">
        <f>-U479*B444</f>
        <v>-30292.635868215173</v>
      </c>
      <c r="V480" s="96">
        <f>-V479*B444</f>
        <v>-31687.857609128507</v>
      </c>
      <c r="W480" s="96">
        <f>-W479*B444</f>
        <v>-33144.469106642027</v>
      </c>
      <c r="X480" s="96">
        <f>-X479*B444</f>
        <v>-34665.171510046137</v>
      </c>
      <c r="Y480" s="96">
        <f>-Y479*B444</f>
        <v>-36252.784819200046</v>
      </c>
      <c r="Z480" s="96">
        <f>-Z479*B444</f>
        <v>-37910.253113956707</v>
      </c>
      <c r="AA480" s="96">
        <f>-AA479*B444</f>
        <v>-39640.650013682673</v>
      </c>
    </row>
    <row r="481" spans="1:27" ht="16.5" thickBot="1">
      <c r="A481" s="99" t="s">
        <v>36</v>
      </c>
      <c r="B481" s="100"/>
      <c r="C481" s="100">
        <f t="shared" ref="C481:AA481" si="1389">C479+C480</f>
        <v>-2552.4453770847458</v>
      </c>
      <c r="D481" s="100">
        <f t="shared" si="1389"/>
        <v>-2664.7529736764754</v>
      </c>
      <c r="E481" s="100">
        <f t="shared" si="1389"/>
        <v>63685.794505651262</v>
      </c>
      <c r="F481" s="100">
        <f t="shared" si="1389"/>
        <v>21179.946865029855</v>
      </c>
      <c r="G481" s="100">
        <f t="shared" si="1389"/>
        <v>24483.270628786086</v>
      </c>
      <c r="H481" s="100">
        <f t="shared" si="1389"/>
        <v>27915.315101424429</v>
      </c>
      <c r="I481" s="100">
        <f t="shared" si="1389"/>
        <v>31481.74399413569</v>
      </c>
      <c r="J481" s="100">
        <f t="shared" si="1389"/>
        <v>35188.470221403091</v>
      </c>
      <c r="K481" s="100">
        <f t="shared" si="1389"/>
        <v>39041.666865947089</v>
      </c>
      <c r="L481" s="100">
        <f t="shared" si="1389"/>
        <v>43047.778626127852</v>
      </c>
      <c r="M481" s="100">
        <f t="shared" si="1389"/>
        <v>47213.533767033412</v>
      </c>
      <c r="N481" s="100">
        <f t="shared" si="1389"/>
        <v>51545.956597415672</v>
      </c>
      <c r="O481" s="100">
        <f t="shared" si="1389"/>
        <v>56052.380495611564</v>
      </c>
      <c r="P481" s="100">
        <f t="shared" si="1389"/>
        <v>60740.461508604916</v>
      </c>
      <c r="Q481" s="100">
        <f t="shared" si="1389"/>
        <v>65618.192549446816</v>
      </c>
      <c r="R481" s="100">
        <f t="shared" si="1389"/>
        <v>70693.918219362589</v>
      </c>
      <c r="S481" s="100">
        <f t="shared" si="1389"/>
        <v>75976.35028203149</v>
      </c>
      <c r="T481" s="100">
        <f t="shared" si="1389"/>
        <v>81474.583818734653</v>
      </c>
      <c r="U481" s="100">
        <f t="shared" si="1389"/>
        <v>121170.54347286068</v>
      </c>
      <c r="V481" s="100">
        <f t="shared" si="1389"/>
        <v>126751.43043651401</v>
      </c>
      <c r="W481" s="100">
        <f t="shared" si="1389"/>
        <v>132577.87642656808</v>
      </c>
      <c r="X481" s="100">
        <f t="shared" si="1389"/>
        <v>138660.68604018455</v>
      </c>
      <c r="Y481" s="100">
        <f t="shared" si="1389"/>
        <v>145011.13927680015</v>
      </c>
      <c r="Z481" s="100">
        <f t="shared" si="1389"/>
        <v>151641.01245582683</v>
      </c>
      <c r="AA481" s="100">
        <f t="shared" si="1389"/>
        <v>158562.60005473069</v>
      </c>
    </row>
    <row r="482" spans="1:27" s="487" customFormat="1" ht="16.5" thickBot="1">
      <c r="A482" s="485"/>
      <c r="B482" s="486"/>
      <c r="C482" s="486">
        <v>1</v>
      </c>
      <c r="D482" s="486">
        <f t="shared" ref="D482" si="1390">+C482+1</f>
        <v>2</v>
      </c>
      <c r="E482" s="486">
        <f t="shared" ref="E482" si="1391">+D482+1</f>
        <v>3</v>
      </c>
      <c r="F482" s="486">
        <f t="shared" ref="F482" si="1392">+E482+1</f>
        <v>4</v>
      </c>
      <c r="G482" s="486">
        <f t="shared" ref="G482" si="1393">+F482+1</f>
        <v>5</v>
      </c>
      <c r="H482" s="486">
        <f t="shared" ref="H482" si="1394">+G482+1</f>
        <v>6</v>
      </c>
      <c r="I482" s="486">
        <f t="shared" ref="I482" si="1395">+H482+1</f>
        <v>7</v>
      </c>
      <c r="J482" s="486">
        <f t="shared" ref="J482" si="1396">+I482+1</f>
        <v>8</v>
      </c>
      <c r="K482" s="486">
        <f t="shared" ref="K482" si="1397">+J482+1</f>
        <v>9</v>
      </c>
      <c r="L482" s="486">
        <f t="shared" ref="L482" si="1398">+K482+1</f>
        <v>10</v>
      </c>
      <c r="M482" s="486">
        <f t="shared" ref="M482" si="1399">+L482+1</f>
        <v>11</v>
      </c>
      <c r="N482" s="486">
        <f t="shared" ref="N482" si="1400">+M482+1</f>
        <v>12</v>
      </c>
      <c r="O482" s="486">
        <f>+N482+1</f>
        <v>13</v>
      </c>
      <c r="P482" s="486">
        <f>+O482+1</f>
        <v>14</v>
      </c>
      <c r="Q482" s="486">
        <f>+P482+1</f>
        <v>15</v>
      </c>
      <c r="R482" s="486">
        <f t="shared" ref="R482" si="1401">+Q482+1</f>
        <v>16</v>
      </c>
      <c r="S482" s="486">
        <f t="shared" ref="S482" si="1402">+R482+1</f>
        <v>17</v>
      </c>
      <c r="T482" s="486">
        <f t="shared" ref="T482" si="1403">+S482+1</f>
        <v>18</v>
      </c>
      <c r="U482" s="486">
        <f t="shared" ref="U482" si="1404">+T482+1</f>
        <v>19</v>
      </c>
      <c r="V482" s="486">
        <f t="shared" ref="V482" si="1405">+U482+1</f>
        <v>20</v>
      </c>
      <c r="W482" s="486">
        <f t="shared" ref="W482" si="1406">+V482+1</f>
        <v>21</v>
      </c>
      <c r="X482" s="486">
        <f t="shared" ref="X482" si="1407">+W482+1</f>
        <v>22</v>
      </c>
      <c r="Y482" s="486">
        <f t="shared" ref="Y482" si="1408">+X482+1</f>
        <v>23</v>
      </c>
      <c r="Z482" s="486">
        <f t="shared" ref="Z482" si="1409">+Y482+1</f>
        <v>24</v>
      </c>
      <c r="AA482" s="486">
        <f t="shared" ref="AA482" si="1410">+Z482+1</f>
        <v>25</v>
      </c>
    </row>
    <row r="483" spans="1:27" ht="47.25">
      <c r="A483" s="88" t="s">
        <v>37</v>
      </c>
      <c r="B483" s="78" t="str">
        <f>B466</f>
        <v>год окончания 
строительства объекта 2016</v>
      </c>
      <c r="C483" s="79">
        <f>C466</f>
        <v>2017</v>
      </c>
      <c r="D483" s="80">
        <f t="shared" ref="D483" si="1411">C483+1</f>
        <v>2018</v>
      </c>
      <c r="E483" s="80">
        <f t="shared" ref="E483" si="1412">D483+1</f>
        <v>2019</v>
      </c>
      <c r="F483" s="80">
        <f t="shared" ref="F483" si="1413">E483+1</f>
        <v>2020</v>
      </c>
      <c r="G483" s="80">
        <f t="shared" ref="G483" si="1414">F483+1</f>
        <v>2021</v>
      </c>
      <c r="H483" s="80">
        <f t="shared" ref="H483" si="1415">G483+1</f>
        <v>2022</v>
      </c>
      <c r="I483" s="80">
        <f t="shared" ref="I483" si="1416">H483+1</f>
        <v>2023</v>
      </c>
      <c r="J483" s="80">
        <f t="shared" ref="J483" si="1417">I483+1</f>
        <v>2024</v>
      </c>
      <c r="K483" s="80">
        <f t="shared" ref="K483" si="1418">J483+1</f>
        <v>2025</v>
      </c>
      <c r="L483" s="80">
        <f t="shared" ref="L483" si="1419">K483+1</f>
        <v>2026</v>
      </c>
      <c r="M483" s="80">
        <f t="shared" ref="M483" si="1420">L483+1</f>
        <v>2027</v>
      </c>
      <c r="N483" s="80">
        <f t="shared" ref="N483" si="1421">M483+1</f>
        <v>2028</v>
      </c>
      <c r="O483" s="80">
        <f t="shared" ref="O483" si="1422">N483+1</f>
        <v>2029</v>
      </c>
      <c r="P483" s="80">
        <f t="shared" ref="P483" si="1423">O483+1</f>
        <v>2030</v>
      </c>
      <c r="Q483" s="80">
        <f t="shared" ref="Q483" si="1424">P483+1</f>
        <v>2031</v>
      </c>
      <c r="R483" s="80">
        <f t="shared" ref="R483" si="1425">Q483+1</f>
        <v>2032</v>
      </c>
      <c r="S483" s="80">
        <f t="shared" ref="S483" si="1426">R483+1</f>
        <v>2033</v>
      </c>
      <c r="T483" s="80">
        <f t="shared" ref="T483" si="1427">S483+1</f>
        <v>2034</v>
      </c>
      <c r="U483" s="80">
        <f t="shared" ref="U483" si="1428">T483+1</f>
        <v>2035</v>
      </c>
      <c r="V483" s="80">
        <f t="shared" ref="V483" si="1429">U483+1</f>
        <v>2036</v>
      </c>
      <c r="W483" s="80">
        <f t="shared" ref="W483" si="1430">V483+1</f>
        <v>2037</v>
      </c>
      <c r="X483" s="80">
        <f t="shared" ref="X483" si="1431">W483+1</f>
        <v>2038</v>
      </c>
      <c r="Y483" s="80">
        <f t="shared" ref="Y483" si="1432">X483+1</f>
        <v>2039</v>
      </c>
      <c r="Z483" s="80">
        <f t="shared" ref="Z483" si="1433">Y483+1</f>
        <v>2040</v>
      </c>
      <c r="AA483" s="80">
        <f t="shared" ref="AA483" si="1434">Z483+1</f>
        <v>2041</v>
      </c>
    </row>
    <row r="484" spans="1:27">
      <c r="A484" s="94" t="s">
        <v>34</v>
      </c>
      <c r="B484" s="95">
        <f t="shared" ref="B484" si="1435">B477</f>
        <v>0</v>
      </c>
      <c r="C484" s="95">
        <f>C477</f>
        <v>-3190.5567213559325</v>
      </c>
      <c r="D484" s="95">
        <f t="shared" ref="D484:AA484" si="1436">D477</f>
        <v>-3330.9412170955943</v>
      </c>
      <c r="E484" s="95">
        <f t="shared" si="1436"/>
        <v>79607.243132064075</v>
      </c>
      <c r="F484" s="95">
        <f t="shared" si="1436"/>
        <v>26474.933581287318</v>
      </c>
      <c r="G484" s="95">
        <f t="shared" si="1436"/>
        <v>30604.088285982609</v>
      </c>
      <c r="H484" s="95">
        <f t="shared" si="1436"/>
        <v>34894.143876780538</v>
      </c>
      <c r="I484" s="95">
        <f t="shared" si="1436"/>
        <v>39352.179992669611</v>
      </c>
      <c r="J484" s="95">
        <f t="shared" si="1436"/>
        <v>43985.587776753862</v>
      </c>
      <c r="K484" s="95">
        <f t="shared" si="1436"/>
        <v>48802.083582433857</v>
      </c>
      <c r="L484" s="95">
        <f t="shared" si="1436"/>
        <v>53809.723282659819</v>
      </c>
      <c r="M484" s="95">
        <f t="shared" si="1436"/>
        <v>59016.917208791769</v>
      </c>
      <c r="N484" s="95">
        <f t="shared" si="1436"/>
        <v>64432.44574676959</v>
      </c>
      <c r="O484" s="95">
        <f t="shared" si="1436"/>
        <v>70065.475619514458</v>
      </c>
      <c r="P484" s="95">
        <f t="shared" si="1436"/>
        <v>75925.576885756149</v>
      </c>
      <c r="Q484" s="95">
        <f t="shared" si="1436"/>
        <v>82022.740686808524</v>
      </c>
      <c r="R484" s="95">
        <f t="shared" si="1436"/>
        <v>88367.397774203229</v>
      </c>
      <c r="S484" s="95">
        <f t="shared" si="1436"/>
        <v>94970.437852539369</v>
      </c>
      <c r="T484" s="95">
        <f t="shared" si="1436"/>
        <v>101843.22977341832</v>
      </c>
      <c r="U484" s="95">
        <f t="shared" si="1436"/>
        <v>151463.17934107585</v>
      </c>
      <c r="V484" s="95">
        <f t="shared" si="1436"/>
        <v>158439.28804564252</v>
      </c>
      <c r="W484" s="95">
        <f t="shared" si="1436"/>
        <v>165722.34553321011</v>
      </c>
      <c r="X484" s="95">
        <f t="shared" si="1436"/>
        <v>173325.85755023069</v>
      </c>
      <c r="Y484" s="95">
        <f t="shared" si="1436"/>
        <v>181263.92409600021</v>
      </c>
      <c r="Z484" s="95">
        <f t="shared" si="1436"/>
        <v>189551.26556978354</v>
      </c>
      <c r="AA484" s="95">
        <f t="shared" si="1436"/>
        <v>198203.25006841336</v>
      </c>
    </row>
    <row r="485" spans="1:27">
      <c r="A485" s="97" t="s">
        <v>278</v>
      </c>
      <c r="B485" s="96">
        <f t="shared" ref="B485" si="1437">-B476</f>
        <v>0</v>
      </c>
      <c r="C485" s="96">
        <f>-C476</f>
        <v>0</v>
      </c>
      <c r="D485" s="96">
        <f t="shared" ref="D485:AA485" si="1438">-D476</f>
        <v>0</v>
      </c>
      <c r="E485" s="96">
        <f t="shared" si="1438"/>
        <v>0</v>
      </c>
      <c r="F485" s="96">
        <f t="shared" si="1438"/>
        <v>42937.853107344636</v>
      </c>
      <c r="G485" s="96">
        <f t="shared" si="1438"/>
        <v>42937.853107344636</v>
      </c>
      <c r="H485" s="96">
        <f t="shared" si="1438"/>
        <v>42937.853107344636</v>
      </c>
      <c r="I485" s="96">
        <f t="shared" si="1438"/>
        <v>42937.853107344636</v>
      </c>
      <c r="J485" s="96">
        <f t="shared" si="1438"/>
        <v>42937.853107344636</v>
      </c>
      <c r="K485" s="96">
        <f t="shared" si="1438"/>
        <v>42937.853107344636</v>
      </c>
      <c r="L485" s="96">
        <f t="shared" si="1438"/>
        <v>42937.853107344636</v>
      </c>
      <c r="M485" s="96">
        <f t="shared" si="1438"/>
        <v>42937.853107344636</v>
      </c>
      <c r="N485" s="96">
        <f t="shared" si="1438"/>
        <v>42937.853107344636</v>
      </c>
      <c r="O485" s="96">
        <f t="shared" si="1438"/>
        <v>42937.853107344636</v>
      </c>
      <c r="P485" s="96">
        <f t="shared" si="1438"/>
        <v>42937.853107344636</v>
      </c>
      <c r="Q485" s="96">
        <f t="shared" si="1438"/>
        <v>42937.853107344636</v>
      </c>
      <c r="R485" s="96">
        <f t="shared" si="1438"/>
        <v>42937.853107344636</v>
      </c>
      <c r="S485" s="96">
        <f t="shared" si="1438"/>
        <v>42937.853107344636</v>
      </c>
      <c r="T485" s="96">
        <f t="shared" si="1438"/>
        <v>42937.853107344636</v>
      </c>
      <c r="U485" s="96">
        <f t="shared" si="1438"/>
        <v>0</v>
      </c>
      <c r="V485" s="96">
        <f t="shared" si="1438"/>
        <v>0</v>
      </c>
      <c r="W485" s="96">
        <f t="shared" si="1438"/>
        <v>0</v>
      </c>
      <c r="X485" s="96">
        <f t="shared" si="1438"/>
        <v>0</v>
      </c>
      <c r="Y485" s="96">
        <f t="shared" si="1438"/>
        <v>0</v>
      </c>
      <c r="Z485" s="96">
        <f t="shared" si="1438"/>
        <v>0</v>
      </c>
      <c r="AA485" s="96">
        <f t="shared" si="1438"/>
        <v>0</v>
      </c>
    </row>
    <row r="486" spans="1:27">
      <c r="A486" s="97" t="s">
        <v>62</v>
      </c>
      <c r="B486" s="96">
        <f t="shared" ref="B486:AA486" si="1439">B478</f>
        <v>0</v>
      </c>
      <c r="C486" s="96">
        <f t="shared" si="1439"/>
        <v>0</v>
      </c>
      <c r="D486" s="96">
        <f t="shared" si="1439"/>
        <v>0</v>
      </c>
      <c r="E486" s="96">
        <f t="shared" si="1439"/>
        <v>0</v>
      </c>
      <c r="F486" s="96">
        <f t="shared" si="1439"/>
        <v>0</v>
      </c>
      <c r="G486" s="96">
        <f t="shared" si="1439"/>
        <v>0</v>
      </c>
      <c r="H486" s="96">
        <f t="shared" si="1439"/>
        <v>0</v>
      </c>
      <c r="I486" s="96">
        <f t="shared" si="1439"/>
        <v>0</v>
      </c>
      <c r="J486" s="96">
        <f t="shared" si="1439"/>
        <v>0</v>
      </c>
      <c r="K486" s="96">
        <f t="shared" si="1439"/>
        <v>0</v>
      </c>
      <c r="L486" s="96">
        <f t="shared" si="1439"/>
        <v>0</v>
      </c>
      <c r="M486" s="96">
        <f t="shared" si="1439"/>
        <v>0</v>
      </c>
      <c r="N486" s="96">
        <f t="shared" si="1439"/>
        <v>0</v>
      </c>
      <c r="O486" s="96">
        <f t="shared" si="1439"/>
        <v>0</v>
      </c>
      <c r="P486" s="96">
        <f t="shared" si="1439"/>
        <v>0</v>
      </c>
      <c r="Q486" s="96">
        <f t="shared" si="1439"/>
        <v>0</v>
      </c>
      <c r="R486" s="96">
        <f t="shared" si="1439"/>
        <v>0</v>
      </c>
      <c r="S486" s="96">
        <f t="shared" si="1439"/>
        <v>0</v>
      </c>
      <c r="T486" s="96">
        <f t="shared" si="1439"/>
        <v>0</v>
      </c>
      <c r="U486" s="96">
        <f t="shared" si="1439"/>
        <v>0</v>
      </c>
      <c r="V486" s="96">
        <f t="shared" si="1439"/>
        <v>0</v>
      </c>
      <c r="W486" s="96">
        <f t="shared" si="1439"/>
        <v>0</v>
      </c>
      <c r="X486" s="96">
        <f t="shared" si="1439"/>
        <v>0</v>
      </c>
      <c r="Y486" s="96">
        <f t="shared" si="1439"/>
        <v>0</v>
      </c>
      <c r="Z486" s="96">
        <f t="shared" si="1439"/>
        <v>0</v>
      </c>
      <c r="AA486" s="96">
        <f t="shared" si="1439"/>
        <v>0</v>
      </c>
    </row>
    <row r="487" spans="1:27">
      <c r="A487" s="97" t="s">
        <v>100</v>
      </c>
      <c r="B487" s="96">
        <f>IF(SUM(B480:B480)+SUM(A487:A487)&gt;0,0,SUM(B480:B480)-SUM(A487:A487))</f>
        <v>0</v>
      </c>
      <c r="C487" s="96">
        <f>IF(SUM(B480:C480)+SUM(A487:B487)&gt;0,0,SUM(B480:C480)-SUM(A487:B487))</f>
        <v>0</v>
      </c>
      <c r="D487" s="96">
        <f>IF(SUM(B480:D480)+SUM(A487:C487)&gt;0,0,SUM(B480:D480)-SUM(A487:C487))</f>
        <v>0</v>
      </c>
      <c r="E487" s="96">
        <f>IF(SUM(B480:E480)+SUM(A487:D487)&gt;0,0,SUM(B480:E480)-SUM(A487:D487))</f>
        <v>-14617.149038722509</v>
      </c>
      <c r="F487" s="96">
        <f>IF(SUM(B480:F480)+SUM(A487:E487)&gt;0,0,SUM(B480:F480)-SUM(A487:E487))</f>
        <v>-5294.9867162574628</v>
      </c>
      <c r="G487" s="96">
        <f>IF(SUM(B480:G480)+SUM(A487:F487)&gt;0,0,SUM(B480:G480)-SUM(A487:F487))</f>
        <v>-6120.8176571965232</v>
      </c>
      <c r="H487" s="96">
        <f>IF(SUM(B480:H480)+SUM(A487:G487)&gt;0,0,SUM(B480:H480)-SUM(A487:G487))</f>
        <v>-6978.828775356109</v>
      </c>
      <c r="I487" s="96">
        <f>IF(SUM(B480:I480)+SUM(A487:H487)&gt;0,0,SUM(B480:I480)-SUM(A487:H487))</f>
        <v>-7870.4359985339252</v>
      </c>
      <c r="J487" s="96">
        <f>IF(SUM(B480:J480)+SUM(A487:I487)&gt;0,0,SUM(B480:J480)-SUM(A487:I487))</f>
        <v>-8797.117555350771</v>
      </c>
      <c r="K487" s="96">
        <f>IF(SUM(B480:K480)+SUM(A487:J487)&gt;0,0,SUM(B480:K480)-SUM(A487:J487))</f>
        <v>-9760.4167164867758</v>
      </c>
      <c r="L487" s="96">
        <f>IF(SUM(B480:L480)+SUM(A487:K487)&gt;0,0,SUM(B480:L480)-SUM(A487:K487))</f>
        <v>-10761.944656531967</v>
      </c>
      <c r="M487" s="96">
        <f>IF(SUM(B480:M480)+SUM(A487:L487)&gt;0,0,SUM(B480:M480)-SUM(A487:L487))</f>
        <v>-11803.383441758357</v>
      </c>
      <c r="N487" s="96">
        <f>IF(SUM(B480:N480)+SUM(A487:M487)&gt;0,0,SUM(B480:N480)-SUM(A487:M487))</f>
        <v>-12886.489149353918</v>
      </c>
      <c r="O487" s="96">
        <f>IF(SUM(B480:O480)+SUM(A487:N487)&gt;0,0,SUM(B480:O480)-SUM(A487:N487))</f>
        <v>-14013.095123902895</v>
      </c>
      <c r="P487" s="96">
        <f>IF(SUM(B480:P480)+SUM(A487:O487)&gt;0,0,SUM(B480:P480)-SUM(A487:O487))</f>
        <v>-15185.115377151233</v>
      </c>
      <c r="Q487" s="96">
        <f>IF(SUM(B480:Q480)+SUM(A487:P487)&gt;0,0,SUM(B480:Q480)-SUM(A487:P487))</f>
        <v>-16404.548137361708</v>
      </c>
      <c r="R487" s="96">
        <f>IF(SUM(B480:R480)+SUM(A487:Q487)&gt;0,0,SUM(B480:R480)-SUM(A487:Q487))</f>
        <v>-17673.479554840655</v>
      </c>
      <c r="S487" s="96">
        <f>IF(SUM(B480:S480)+SUM(A487:R487)&gt;0,0,SUM(B480:S480)-SUM(A487:R487))</f>
        <v>-18994.087570507865</v>
      </c>
      <c r="T487" s="96">
        <f>IF(SUM(B480:T480)+SUM(A487:S487)&gt;0,0,SUM(B480:T480)-SUM(A487:S487))</f>
        <v>-20368.645954683656</v>
      </c>
      <c r="U487" s="96">
        <f>IF(SUM(B480:U480)+SUM(A487:T487)&gt;0,0,SUM(B480:U480)-SUM(A487:T487))</f>
        <v>-30292.635868215177</v>
      </c>
      <c r="V487" s="96">
        <f>IF(SUM(B480:V480)+SUM(A487:U487)&gt;0,0,SUM(B480:V480)-SUM(A487:U487))</f>
        <v>-31687.857609128521</v>
      </c>
      <c r="W487" s="96">
        <f>IF(SUM(B480:W480)+SUM(A487:V487)&gt;0,0,SUM(B480:W480)-SUM(A487:V487))</f>
        <v>-33144.469106642005</v>
      </c>
      <c r="X487" s="96">
        <f>IF(SUM(B480:X480)+SUM(A487:W487)&gt;0,0,SUM(B480:X480)-SUM(A487:W487))</f>
        <v>-34665.171510046115</v>
      </c>
      <c r="Y487" s="96">
        <f>IF(SUM(B480:Y480)+SUM(A487:X487)&gt;0,0,SUM(B480:Y480)-SUM(A487:X487))</f>
        <v>-36252.784819200053</v>
      </c>
      <c r="Z487" s="96">
        <f>IF(SUM(B480:Z480)+SUM(A487:Y487)&gt;0,0,SUM(B480:Z480)-SUM(A487:Y487))</f>
        <v>-37910.253113956715</v>
      </c>
      <c r="AA487" s="96">
        <f>IF(SUM(B480:AA480)+SUM(A487:Z487)&gt;0,0,SUM(B480:AA480)-SUM(A487:Z487))</f>
        <v>-39640.650013682665</v>
      </c>
    </row>
    <row r="488" spans="1:27">
      <c r="A488" s="97" t="s">
        <v>38</v>
      </c>
      <c r="B488" s="101">
        <f>IF(((SUM(B467:B467)+SUM(B469:B473))+SUM(B490:B490))&lt;0,((SUM(B467:B467)+SUM(B469:B473))+SUM(B490:B490))*0.18-SUM(A488:A488),IF(SUM(A488:B488)&lt;0,0-SUM(A488:B488),0))</f>
        <v>-115932.20338983052</v>
      </c>
      <c r="C488" s="101">
        <f>IF(((SUM(B467:C467)+SUM(B469:C473))+SUM(B490:C490))&lt;0,((SUM(B467:C467)+SUM(B469:C473))+SUM(B490:C490))*0.18-SUM(A488:B488),IF(SUM(B488:B488)&lt;0,0-SUM(B488:B488),0))</f>
        <v>-574.30020984404837</v>
      </c>
      <c r="D488" s="101">
        <f>IF(((SUM(B467:D467)+SUM(B469:D473))+SUM(B490:D490))&lt;0,((SUM(B467:D467)+SUM(B469:D473))+SUM(B490:D490))*0.18-SUM(A488:C488),IF(SUM(B488:C488)&lt;0,0-SUM(B488:C488),0))</f>
        <v>-599.56941907721921</v>
      </c>
      <c r="E488" s="101">
        <f>IF(((SUM(B467:E467)+SUM(B469:E473))+SUM(B490:E490))&lt;0,((SUM(B467:E467)+SUM(B469:E473))+SUM(B490:E490))*0.18-SUM(A488:D488),IF(SUM(B488:D488)&lt;0,0-SUM(B488:D488),0))</f>
        <v>14329.303763771532</v>
      </c>
      <c r="F488" s="101">
        <f>IF(((SUM(B467:F467)+SUM(B469:F473))+SUM(B490:F490))&lt;0,((SUM(B467:F467)+SUM(B469:F473))+SUM(B490:F490))*0.18-SUM(A488:E488),IF(SUM(B488:E488)&lt;0,0-SUM(B488:E488),0))</f>
        <v>14959.793129377475</v>
      </c>
      <c r="G488" s="101">
        <f>IF(((SUM(B467:G467)+SUM(B469:G473))+SUM(B490:G490))&lt;0,((SUM(B467:G467)+SUM(B469:G473))+SUM(B490:G490))*0.18-SUM(A488:F488),IF(SUM(B488:F488)&lt;0,0-SUM(B488:F488),0))</f>
        <v>15618.024027070089</v>
      </c>
      <c r="H488" s="101">
        <f>IF(((SUM(B467:H467)+SUM(B469:H473))+SUM(B490:H490))&lt;0,((SUM(B467:H467)+SUM(B469:H473))+SUM(B490:H490))*0.18-SUM(A488:G488),IF(SUM(B488:G488)&lt;0,0-SUM(B488:G488),0))</f>
        <v>16305.217084261174</v>
      </c>
      <c r="I488" s="101">
        <f>IF(((SUM(B467:I467)+SUM(B469:I473))+SUM(B490:I490))&lt;0,((SUM(B467:I467)+SUM(B469:I473))+SUM(B490:I490))*0.18-SUM(A488:H488),IF(SUM(B488:H488)&lt;0,0-SUM(B488:H488),0))</f>
        <v>17022.646635968675</v>
      </c>
      <c r="J488" s="101">
        <f>IF(((SUM(B467:J467)+SUM(B469:J473))+SUM(B490:J490))&lt;0,((SUM(B467:J467)+SUM(B469:J473))+SUM(B490:J490))*0.18-SUM(A488:I488),IF(SUM(B488:I488)&lt;0,0-SUM(B488:I488),0))</f>
        <v>17771.643087951274</v>
      </c>
      <c r="K488" s="101">
        <f>IF(((SUM(B467:K467)+SUM(B469:K473))+SUM(B490:K490))&lt;0,((SUM(B467:K467)+SUM(B469:K473))+SUM(B490:K490))*0.18-SUM(A488:J488),IF(SUM(B488:J488)&lt;0,0-SUM(B488:J488),0))</f>
        <v>18553.59538382115</v>
      </c>
      <c r="L488" s="101">
        <f>IF(((SUM(B467:L467)+SUM(B469:L473))+SUM(B490:L490))&lt;0,((SUM(B467:L467)+SUM(B469:L473))+SUM(B490:L490))*0.18-SUM(A488:K488),IF(SUM(B488:K488)&lt;0,0-SUM(B488:K488),0))</f>
        <v>2545.8499065304241</v>
      </c>
      <c r="M488" s="101">
        <f>IF(((SUM(B467:M467)+SUM(B469:M473))+SUM(B490:M490))&lt;0,((SUM(B467:M467)+SUM(B469:M473))+SUM(B490:M490))*0.18-SUM(A488:L488),IF(SUM(B488:L488)&lt;0,0-SUM(B488:L488),0))</f>
        <v>0</v>
      </c>
      <c r="N488" s="101">
        <f>IF(((SUM(B467:N467)+SUM(B469:N473))+SUM(B490:N490))&lt;0,((SUM(B467:N467)+SUM(B469:N473))+SUM(B490:N490))*0.18-SUM(A488:M488),IF(SUM(B488:M488)&lt;0,0-SUM(B488:M488),0))</f>
        <v>0</v>
      </c>
      <c r="O488" s="101">
        <f>IF(((SUM(B467:O467)+SUM(B469:O473))+SUM(B490:O490))&lt;0,((SUM(B467:O467)+SUM(B469:O473))+SUM(B490:O490))*0.18-SUM(A488:N488),IF(SUM(B488:N488)&lt;0,0-SUM(B488:N488),0))</f>
        <v>0</v>
      </c>
      <c r="P488" s="101">
        <f>IF(((SUM(B467:P467)+SUM(B469:P473))+SUM(B490:P490))&lt;0,((SUM(B467:P467)+SUM(B469:P473))+SUM(B490:P490))*0.18-SUM(A488:O488),IF(SUM(B488:O488)&lt;0,0-SUM(B488:O488),0))</f>
        <v>0</v>
      </c>
      <c r="Q488" s="101">
        <f>IF(((SUM(B467:Q467)+SUM(B469:Q473))+SUM(B490:Q490))&lt;0,((SUM(B467:Q467)+SUM(B469:Q473))+SUM(B490:Q490))*0.18-SUM(A488:P488),IF(SUM(B488:P488)&lt;0,0-SUM(B488:P488),0))</f>
        <v>0</v>
      </c>
      <c r="R488" s="101">
        <f>IF(((SUM(B467:R467)+SUM(B469:R473))+SUM(B490:R490))&lt;0,((SUM(B467:R467)+SUM(B469:R473))+SUM(B490:R490))*0.18-SUM(A488:Q488),IF(SUM(B488:Q488)&lt;0,0-SUM(B488:Q488),0))</f>
        <v>0</v>
      </c>
      <c r="S488" s="101">
        <f>IF(((SUM(B467:S467)+SUM(B469:S473))+SUM(B490:S490))&lt;0,((SUM(B467:S467)+SUM(B469:S473))+SUM(B490:S490))*0.18-SUM(A488:R488),IF(SUM(B488:R488)&lt;0,0-SUM(B488:R488),0))</f>
        <v>0</v>
      </c>
      <c r="T488" s="101">
        <f>IF(((SUM(B467:T467)+SUM(B469:T473))+SUM(B490:T490))&lt;0,((SUM(B467:T467)+SUM(B469:T473))+SUM(B490:T490))*0.18-SUM(A488:S488),IF(SUM(B488:S488)&lt;0,0-SUM(B488:S488),0))</f>
        <v>0</v>
      </c>
      <c r="U488" s="101">
        <f>IF(((SUM(B467:U467)+SUM(B469:U473))+SUM(B490:U490))&lt;0,((SUM(B467:U467)+SUM(B469:U473))+SUM(B490:U490))*0.18-SUM(A488:T488),IF(SUM(B488:T488)&lt;0,0-SUM(B488:T488),0))</f>
        <v>0</v>
      </c>
      <c r="V488" s="101">
        <f>IF(((SUM(B467:V467)+SUM(B469:V473))+SUM(B490:V490))&lt;0,((SUM(B467:V467)+SUM(B469:V473))+SUM(B490:V490))*0.18-SUM(A488:U488),IF(SUM(B488:U488)&lt;0,0-SUM(B488:U488),0))</f>
        <v>0</v>
      </c>
      <c r="W488" s="101">
        <f>IF(((SUM(B467:W467)+SUM(B469:W473))+SUM(B490:W490))&lt;0,((SUM(B467:W467)+SUM(B469:W473))+SUM(B490:W490))*0.18-SUM(A488:V488),IF(SUM(B488:V488)&lt;0,0-SUM(B488:V488),0))</f>
        <v>0</v>
      </c>
      <c r="X488" s="101">
        <f>IF(((SUM(B467:X467)+SUM(B469:X473))+SUM(B490:X490))&lt;0,((SUM(B467:X467)+SUM(B469:X473))+SUM(B490:X490))*0.18-SUM(A488:W488),IF(SUM(B488:W488)&lt;0,0-SUM(B488:W488),0))</f>
        <v>0</v>
      </c>
      <c r="Y488" s="101">
        <f>IF(((SUM(B467:Y467)+SUM(B469:Y473))+SUM(B490:Y490))&lt;0,((SUM(B467:Y467)+SUM(B469:Y473))+SUM(B490:Y490))*0.18-SUM(A488:X488),IF(SUM(B488:X488)&lt;0,0-SUM(B488:X488),0))</f>
        <v>0</v>
      </c>
      <c r="Z488" s="101">
        <f>IF(((SUM(B467:Z467)+SUM(B469:Z473))+SUM(B490:Z490))&lt;0,((SUM(B467:Z467)+SUM(B469:Z473))+SUM(B490:Z490))*0.18-SUM(A488:Y488),IF(SUM(B488:Y488)&lt;0,0-SUM(B488:Y488),0))</f>
        <v>0</v>
      </c>
      <c r="AA488" s="101">
        <f>IF(((SUM(B467:AA467)+SUM(B469:AA473))+SUM(B490:AA490))&lt;0,((SUM(B467:AA467)+SUM(B469:AA473))+SUM(B490:AA490))*0.18-SUM(A488:Z488),IF(SUM(B488:Z488)&lt;0,0-SUM(B488:Z488),0))</f>
        <v>0</v>
      </c>
    </row>
    <row r="489" spans="1:27">
      <c r="A489" s="97" t="s">
        <v>39</v>
      </c>
      <c r="B489" s="96">
        <f>-B467*(B447)</f>
        <v>0</v>
      </c>
      <c r="C489" s="96">
        <f>-(C467-B467)*B447</f>
        <v>0</v>
      </c>
      <c r="D489" s="96">
        <f>-(D467-C467)*B447</f>
        <v>0</v>
      </c>
      <c r="E489" s="96">
        <f>-(E467-D467)*B447</f>
        <v>-8308.4745762711882</v>
      </c>
      <c r="F489" s="96">
        <f>-(F467-E467)*B447</f>
        <v>-365.57288135593262</v>
      </c>
      <c r="G489" s="96">
        <f>-(G467-F467)*B447</f>
        <v>-381.6580881355942</v>
      </c>
      <c r="H489" s="96">
        <f>-(H467-G467)*B447</f>
        <v>-398.45104401355934</v>
      </c>
      <c r="I489" s="96">
        <f>-(I467-H467)*B447</f>
        <v>-415.98288995015611</v>
      </c>
      <c r="J489" s="96">
        <f>-(J467-I467)*B447</f>
        <v>-434.28613710796344</v>
      </c>
      <c r="K489" s="96">
        <f>-(K467-J467)*B447</f>
        <v>-453.39472714071309</v>
      </c>
      <c r="L489" s="96">
        <f>-(L467-K467)*B447</f>
        <v>-473.34409513490539</v>
      </c>
      <c r="M489" s="96">
        <f>-(M467-L467)*B447</f>
        <v>-494.17123532084082</v>
      </c>
      <c r="N489" s="96">
        <f>-(N467-M467)*B447</f>
        <v>-515.91476967495839</v>
      </c>
      <c r="O489" s="96">
        <f>-(O467-N467)*B447</f>
        <v>-538.61501954065614</v>
      </c>
      <c r="P489" s="96">
        <f>-(P467-O467)*B447</f>
        <v>-562.31408040044482</v>
      </c>
      <c r="Q489" s="96">
        <f>-(Q467-P467)*B447</f>
        <v>-587.05589993806495</v>
      </c>
      <c r="R489" s="96">
        <f>-(R467-Q467)*B447</f>
        <v>-612.8863595353381</v>
      </c>
      <c r="S489" s="96">
        <f>-(S467-R467)*B447</f>
        <v>-639.8533593548957</v>
      </c>
      <c r="T489" s="96">
        <f>-(T467-S467)*B447</f>
        <v>-668.00690716650865</v>
      </c>
      <c r="U489" s="96">
        <f>-(U467-T467)*B447</f>
        <v>-697.39921108183626</v>
      </c>
      <c r="V489" s="96">
        <f>-(V467-U467)*B447</f>
        <v>-728.08477636943576</v>
      </c>
      <c r="W489" s="96">
        <f>-(W467-V467)*B447</f>
        <v>-760.12050652969344</v>
      </c>
      <c r="X489" s="96">
        <f>-(X467-W467)*B447</f>
        <v>-793.56580881699927</v>
      </c>
      <c r="Y489" s="96">
        <f>-(Y467-X467)*B447</f>
        <v>-828.48270440494821</v>
      </c>
      <c r="Z489" s="96">
        <f>-(Z467-Y467)*B447</f>
        <v>-864.93594339876438</v>
      </c>
      <c r="AA489" s="96">
        <f>-(AA467-Z467)*B447</f>
        <v>-902.99312490831073</v>
      </c>
    </row>
    <row r="490" spans="1:27">
      <c r="A490" s="97" t="s">
        <v>40</v>
      </c>
      <c r="B490" s="96">
        <f>-(B433+B434)*B436</f>
        <v>-644067.79661016958</v>
      </c>
      <c r="C490" s="96"/>
      <c r="D490" s="96"/>
      <c r="E490" s="96"/>
      <c r="F490" s="96"/>
      <c r="G490" s="96"/>
      <c r="H490" s="96"/>
      <c r="I490" s="96"/>
      <c r="J490" s="96"/>
      <c r="K490" s="96"/>
      <c r="L490" s="96"/>
      <c r="M490" s="96"/>
      <c r="N490" s="96"/>
      <c r="O490" s="96"/>
      <c r="P490" s="96"/>
      <c r="Q490" s="96"/>
      <c r="R490" s="96"/>
      <c r="S490" s="96"/>
      <c r="T490" s="96"/>
      <c r="U490" s="96"/>
      <c r="V490" s="96"/>
      <c r="W490" s="96"/>
      <c r="X490" s="96"/>
      <c r="Y490" s="96"/>
      <c r="Z490" s="96"/>
      <c r="AA490" s="96"/>
    </row>
    <row r="491" spans="1:27">
      <c r="A491" s="97" t="s">
        <v>41</v>
      </c>
      <c r="B491" s="96">
        <f t="shared" ref="B491:AA491" si="1440">B462-B463</f>
        <v>0</v>
      </c>
      <c r="C491" s="96">
        <f t="shared" si="1440"/>
        <v>0</v>
      </c>
      <c r="D491" s="96">
        <f t="shared" si="1440"/>
        <v>0</v>
      </c>
      <c r="E491" s="96">
        <f t="shared" si="1440"/>
        <v>0</v>
      </c>
      <c r="F491" s="96">
        <f t="shared" si="1440"/>
        <v>0</v>
      </c>
      <c r="G491" s="96">
        <f t="shared" si="1440"/>
        <v>0</v>
      </c>
      <c r="H491" s="96">
        <f t="shared" si="1440"/>
        <v>0</v>
      </c>
      <c r="I491" s="96">
        <f t="shared" si="1440"/>
        <v>0</v>
      </c>
      <c r="J491" s="96">
        <f t="shared" si="1440"/>
        <v>0</v>
      </c>
      <c r="K491" s="96">
        <f t="shared" si="1440"/>
        <v>0</v>
      </c>
      <c r="L491" s="96">
        <f t="shared" si="1440"/>
        <v>0</v>
      </c>
      <c r="M491" s="96">
        <f t="shared" si="1440"/>
        <v>0</v>
      </c>
      <c r="N491" s="96">
        <f t="shared" si="1440"/>
        <v>0</v>
      </c>
      <c r="O491" s="96">
        <f t="shared" si="1440"/>
        <v>0</v>
      </c>
      <c r="P491" s="96">
        <f t="shared" si="1440"/>
        <v>0</v>
      </c>
      <c r="Q491" s="96">
        <f t="shared" si="1440"/>
        <v>0</v>
      </c>
      <c r="R491" s="96">
        <f t="shared" si="1440"/>
        <v>0</v>
      </c>
      <c r="S491" s="96">
        <f t="shared" si="1440"/>
        <v>0</v>
      </c>
      <c r="T491" s="96">
        <f t="shared" si="1440"/>
        <v>0</v>
      </c>
      <c r="U491" s="96">
        <f t="shared" si="1440"/>
        <v>0</v>
      </c>
      <c r="V491" s="96">
        <f t="shared" si="1440"/>
        <v>0</v>
      </c>
      <c r="W491" s="96">
        <f t="shared" si="1440"/>
        <v>0</v>
      </c>
      <c r="X491" s="96">
        <f t="shared" si="1440"/>
        <v>0</v>
      </c>
      <c r="Y491" s="96">
        <f t="shared" si="1440"/>
        <v>0</v>
      </c>
      <c r="Z491" s="96">
        <f t="shared" si="1440"/>
        <v>0</v>
      </c>
      <c r="AA491" s="96">
        <f t="shared" si="1440"/>
        <v>0</v>
      </c>
    </row>
    <row r="492" spans="1:27">
      <c r="A492" s="102" t="s">
        <v>42</v>
      </c>
      <c r="B492" s="95">
        <f t="shared" ref="B492:AA492" si="1441">SUM(B484:B491)</f>
        <v>-760000.00000000012</v>
      </c>
      <c r="C492" s="95">
        <f t="shared" si="1441"/>
        <v>-3764.8569311999809</v>
      </c>
      <c r="D492" s="95">
        <f t="shared" si="1441"/>
        <v>-3930.5106361728135</v>
      </c>
      <c r="E492" s="95">
        <f t="shared" si="1441"/>
        <v>71010.923280841918</v>
      </c>
      <c r="F492" s="95">
        <f t="shared" si="1441"/>
        <v>78712.020220396022</v>
      </c>
      <c r="G492" s="95">
        <f t="shared" si="1441"/>
        <v>82657.489675065211</v>
      </c>
      <c r="H492" s="95">
        <f t="shared" si="1441"/>
        <v>86759.934249016675</v>
      </c>
      <c r="I492" s="95">
        <f t="shared" si="1441"/>
        <v>91026.260847498837</v>
      </c>
      <c r="J492" s="95">
        <f t="shared" si="1441"/>
        <v>95463.680279591048</v>
      </c>
      <c r="K492" s="95">
        <f t="shared" si="1441"/>
        <v>100079.72062997216</v>
      </c>
      <c r="L492" s="95">
        <f t="shared" si="1441"/>
        <v>88058.137544868005</v>
      </c>
      <c r="M492" s="95">
        <f t="shared" si="1441"/>
        <v>89657.215639057205</v>
      </c>
      <c r="N492" s="95">
        <f t="shared" si="1441"/>
        <v>93967.894935085351</v>
      </c>
      <c r="O492" s="95">
        <f t="shared" si="1441"/>
        <v>98451.618583415548</v>
      </c>
      <c r="P492" s="95">
        <f t="shared" si="1441"/>
        <v>103116.0005355491</v>
      </c>
      <c r="Q492" s="95">
        <f t="shared" si="1441"/>
        <v>107968.98975685339</v>
      </c>
      <c r="R492" s="95">
        <f t="shared" si="1441"/>
        <v>113018.88496717188</v>
      </c>
      <c r="S492" s="95">
        <f t="shared" si="1441"/>
        <v>118274.35003002125</v>
      </c>
      <c r="T492" s="95">
        <f t="shared" si="1441"/>
        <v>123744.4300189128</v>
      </c>
      <c r="U492" s="95">
        <f t="shared" si="1441"/>
        <v>120473.14426177884</v>
      </c>
      <c r="V492" s="95">
        <f t="shared" si="1441"/>
        <v>126023.34566014457</v>
      </c>
      <c r="W492" s="95">
        <f t="shared" si="1441"/>
        <v>131817.75592003841</v>
      </c>
      <c r="X492" s="95">
        <f t="shared" si="1441"/>
        <v>137867.12023136759</v>
      </c>
      <c r="Y492" s="95">
        <f t="shared" si="1441"/>
        <v>144182.65657239521</v>
      </c>
      <c r="Z492" s="95">
        <f t="shared" si="1441"/>
        <v>150776.07651242806</v>
      </c>
      <c r="AA492" s="95">
        <f t="shared" si="1441"/>
        <v>157659.60692982239</v>
      </c>
    </row>
    <row r="493" spans="1:27">
      <c r="A493" s="102" t="s">
        <v>43</v>
      </c>
      <c r="B493" s="95">
        <f>SUM(B492:B492)</f>
        <v>-760000.00000000012</v>
      </c>
      <c r="C493" s="95">
        <f>SUM(B492:C492)</f>
        <v>-763764.85693120013</v>
      </c>
      <c r="D493" s="95">
        <f>SUM(B492:D492)</f>
        <v>-767695.36756737297</v>
      </c>
      <c r="E493" s="95">
        <f>SUM(B492:E492)</f>
        <v>-696684.44428653107</v>
      </c>
      <c r="F493" s="95">
        <f>SUM(B492:F492)</f>
        <v>-617972.42406613508</v>
      </c>
      <c r="G493" s="95">
        <f>SUM(B492:G492)</f>
        <v>-535314.93439106992</v>
      </c>
      <c r="H493" s="95">
        <f>SUM(B492:H492)</f>
        <v>-448555.00014205324</v>
      </c>
      <c r="I493" s="95">
        <f>SUM(B492:I492)</f>
        <v>-357528.7392945544</v>
      </c>
      <c r="J493" s="95">
        <f>SUM(B492:J492)</f>
        <v>-262065.05901496334</v>
      </c>
      <c r="K493" s="95">
        <f>SUM(B492:K492)</f>
        <v>-161985.33838499116</v>
      </c>
      <c r="L493" s="95">
        <f>SUM(B492:L492)</f>
        <v>-73927.200840123158</v>
      </c>
      <c r="M493" s="95">
        <f>SUM(B492:M492)</f>
        <v>15730.014798934048</v>
      </c>
      <c r="N493" s="95">
        <f>SUM(B492:N492)</f>
        <v>109697.9097340194</v>
      </c>
      <c r="O493" s="95">
        <f>SUM(B492:O492)</f>
        <v>208149.52831743495</v>
      </c>
      <c r="P493" s="95">
        <f>SUM(B492:P492)</f>
        <v>311265.52885298408</v>
      </c>
      <c r="Q493" s="95">
        <f>SUM(B492:Q492)</f>
        <v>419234.51860983745</v>
      </c>
      <c r="R493" s="95">
        <f>SUM(B492:R492)</f>
        <v>532253.40357700933</v>
      </c>
      <c r="S493" s="95">
        <f>SUM(B492:S492)</f>
        <v>650527.75360703061</v>
      </c>
      <c r="T493" s="95">
        <f>SUM(B492:T492)</f>
        <v>774272.18362594338</v>
      </c>
      <c r="U493" s="95">
        <f>SUM(B492:U492)</f>
        <v>894745.32788772217</v>
      </c>
      <c r="V493" s="95">
        <f>SUM(B492:V492)</f>
        <v>1020768.6735478668</v>
      </c>
      <c r="W493" s="95">
        <f>SUM(B492:W492)</f>
        <v>1152586.4294679051</v>
      </c>
      <c r="X493" s="95">
        <f>SUM(B492:X492)</f>
        <v>1290453.5496992727</v>
      </c>
      <c r="Y493" s="95">
        <f>SUM(B492:Y492)</f>
        <v>1434636.206271668</v>
      </c>
      <c r="Z493" s="95">
        <f>SUM(B492:Z492)</f>
        <v>1585412.282784096</v>
      </c>
      <c r="AA493" s="95">
        <f>SUM(B492:AA492)</f>
        <v>1743071.8897139183</v>
      </c>
    </row>
    <row r="494" spans="1:27">
      <c r="A494" s="103" t="s">
        <v>44</v>
      </c>
      <c r="B494" s="104">
        <f>1/POWER((1+B452),B482)</f>
        <v>1</v>
      </c>
      <c r="C494" s="104">
        <f>1/POWER((1+B452),C482)</f>
        <v>0.92250922509225086</v>
      </c>
      <c r="D494" s="104">
        <f>1/POWER((1+B452),D482)</f>
        <v>0.85102327038030523</v>
      </c>
      <c r="E494" s="104">
        <f>1/POWER((1+B452),E482)</f>
        <v>0.78507681769400839</v>
      </c>
      <c r="F494" s="104">
        <f>1/POWER((1+B452),F482)</f>
        <v>0.72424060672879009</v>
      </c>
      <c r="G494" s="104">
        <f>1/POWER((1+B452),G482)</f>
        <v>0.66811864089371786</v>
      </c>
      <c r="H494" s="104">
        <f>1/POWER((1+B452),H482)</f>
        <v>0.61634560968055141</v>
      </c>
      <c r="I494" s="104">
        <f>1/POWER((1+B452),I482)</f>
        <v>0.56858451077541639</v>
      </c>
      <c r="J494" s="104">
        <f>1/POWER((1+B452),J482)</f>
        <v>0.5245244564348861</v>
      </c>
      <c r="K494" s="104">
        <f>1/POWER((1+B452),K482)</f>
        <v>0.48387864984768086</v>
      </c>
      <c r="L494" s="104">
        <f>1/POWER((1+B452),L482)</f>
        <v>0.44638251830966863</v>
      </c>
      <c r="M494" s="104">
        <f>1/POWER((1+B452),M482)</f>
        <v>0.41179199106057984</v>
      </c>
      <c r="N494" s="104">
        <f>1/POWER((1+B452),N482)</f>
        <v>0.37988191057249071</v>
      </c>
      <c r="O494" s="104">
        <f>1/POWER((1+B452),O482)</f>
        <v>0.35044456694879217</v>
      </c>
      <c r="P494" s="104">
        <f>1/POWER((1+B452),P482)</f>
        <v>0.32328834589371969</v>
      </c>
      <c r="Q494" s="104">
        <f>1/POWER((1+B452),Q482)</f>
        <v>0.2982364814517709</v>
      </c>
      <c r="R494" s="104">
        <f>1/POWER((1+B452),R482)</f>
        <v>0.27512590539831266</v>
      </c>
      <c r="S494" s="104">
        <f>1/POWER((1+B452),S482)</f>
        <v>0.25380618579180131</v>
      </c>
      <c r="T494" s="104">
        <f>1/POWER((1+B452),T482)</f>
        <v>0.2341385477784145</v>
      </c>
      <c r="U494" s="104">
        <f>1/POWER((1+B452),U482)</f>
        <v>0.21599497027529013</v>
      </c>
      <c r="V494" s="104">
        <f>1/POWER((1+B452),V482)</f>
        <v>0.19925735265248168</v>
      </c>
      <c r="W494" s="104">
        <f>1/POWER((1+B452),W482)</f>
        <v>0.18381674598937425</v>
      </c>
      <c r="X494" s="104">
        <f>1/POWER((1+B452),X482)</f>
        <v>0.16957264390163673</v>
      </c>
      <c r="Y494" s="104">
        <f>1/POWER((1+B452),Y482)</f>
        <v>0.15643232832254311</v>
      </c>
      <c r="Z494" s="104">
        <f>1/POWER((1+B452),Z482)</f>
        <v>0.14431026598020583</v>
      </c>
      <c r="AA494" s="104">
        <f>1/POWER((1+B452),AA482)</f>
        <v>0.13312755164225631</v>
      </c>
    </row>
    <row r="495" spans="1:27">
      <c r="A495" s="105" t="s">
        <v>45</v>
      </c>
      <c r="B495" s="106">
        <f t="shared" ref="B495:AA495" si="1442">B492*B494</f>
        <v>-760000.00000000012</v>
      </c>
      <c r="C495" s="106">
        <f t="shared" si="1442"/>
        <v>-3473.115250184484</v>
      </c>
      <c r="D495" s="106">
        <f t="shared" si="1442"/>
        <v>-3344.9560158603617</v>
      </c>
      <c r="E495" s="106">
        <f t="shared" si="1442"/>
        <v>55749.029670836746</v>
      </c>
      <c r="F495" s="106">
        <f t="shared" si="1442"/>
        <v>57006.44128126841</v>
      </c>
      <c r="G495" s="106">
        <f t="shared" si="1442"/>
        <v>55225.009661391086</v>
      </c>
      <c r="H495" s="106">
        <f t="shared" si="1442"/>
        <v>53474.104570554737</v>
      </c>
      <c r="I495" s="106">
        <f t="shared" si="1442"/>
        <v>51756.121991690568</v>
      </c>
      <c r="J495" s="106">
        <f t="shared" si="1442"/>
        <v>50073.03500792625</v>
      </c>
      <c r="K495" s="106">
        <f t="shared" si="1442"/>
        <v>48426.440095564023</v>
      </c>
      <c r="L495" s="106">
        <f t="shared" si="1442"/>
        <v>39307.613194937359</v>
      </c>
      <c r="M495" s="106">
        <f t="shared" si="1442"/>
        <v>36920.123340955121</v>
      </c>
      <c r="N495" s="106">
        <f t="shared" si="1442"/>
        <v>35696.703460415294</v>
      </c>
      <c r="O495" s="106">
        <f t="shared" si="1442"/>
        <v>34501.834839872718</v>
      </c>
      <c r="P495" s="106">
        <f t="shared" si="1442"/>
        <v>33336.201248313584</v>
      </c>
      <c r="Q495" s="106">
        <f t="shared" si="1442"/>
        <v>32200.291610986249</v>
      </c>
      <c r="R495" s="106">
        <f t="shared" si="1442"/>
        <v>31094.42305370091</v>
      </c>
      <c r="S495" s="106">
        <f t="shared" si="1442"/>
        <v>30018.761658124113</v>
      </c>
      <c r="T495" s="106">
        <f t="shared" si="1442"/>
        <v>28973.341140295885</v>
      </c>
      <c r="U495" s="106">
        <f t="shared" si="1442"/>
        <v>26021.593213793662</v>
      </c>
      <c r="V495" s="106">
        <f t="shared" si="1442"/>
        <v>25111.078228649021</v>
      </c>
      <c r="W495" s="106">
        <f t="shared" si="1442"/>
        <v>24230.310956843034</v>
      </c>
      <c r="X495" s="106">
        <f t="shared" si="1442"/>
        <v>23378.492084737834</v>
      </c>
      <c r="Y495" s="106">
        <f t="shared" si="1442"/>
        <v>22554.828671349405</v>
      </c>
      <c r="Z495" s="106">
        <f t="shared" si="1442"/>
        <v>21758.535704960359</v>
      </c>
      <c r="AA495" s="106">
        <f t="shared" si="1442"/>
        <v>20988.837463447762</v>
      </c>
    </row>
    <row r="496" spans="1:27">
      <c r="A496" s="105" t="s">
        <v>46</v>
      </c>
      <c r="B496" s="106">
        <f>SUM(B495:B495)</f>
        <v>-760000.00000000012</v>
      </c>
      <c r="C496" s="106">
        <f>SUM(B495:C495)</f>
        <v>-763473.11525018455</v>
      </c>
      <c r="D496" s="106">
        <f>SUM(B495:D495)</f>
        <v>-766818.07126604486</v>
      </c>
      <c r="E496" s="106">
        <f>SUM(B495:E495)</f>
        <v>-711069.04159520811</v>
      </c>
      <c r="F496" s="106">
        <f>SUM(B495:F495)</f>
        <v>-654062.60031393974</v>
      </c>
      <c r="G496" s="106">
        <f>SUM(B495:G495)</f>
        <v>-598837.59065254871</v>
      </c>
      <c r="H496" s="106">
        <f>SUM(B495:H495)</f>
        <v>-545363.48608199402</v>
      </c>
      <c r="I496" s="106">
        <f>SUM(B495:I495)</f>
        <v>-493607.36409030342</v>
      </c>
      <c r="J496" s="106">
        <f>SUM(B495:J495)</f>
        <v>-443534.3290823772</v>
      </c>
      <c r="K496" s="106">
        <f>SUM(B495:K495)</f>
        <v>-395107.8889868132</v>
      </c>
      <c r="L496" s="106">
        <f>SUM(B495:L495)</f>
        <v>-355800.27579187584</v>
      </c>
      <c r="M496" s="106">
        <f>SUM(B495:M495)</f>
        <v>-318880.15245092072</v>
      </c>
      <c r="N496" s="106">
        <f>SUM(B495:N495)</f>
        <v>-283183.44899050542</v>
      </c>
      <c r="O496" s="106">
        <f>SUM(B495:O495)</f>
        <v>-248681.6141506327</v>
      </c>
      <c r="P496" s="106">
        <f>SUM(B495:P495)</f>
        <v>-215345.41290231911</v>
      </c>
      <c r="Q496" s="106">
        <f>SUM(B495:Q495)</f>
        <v>-183145.12129133285</v>
      </c>
      <c r="R496" s="106">
        <f>SUM(B495:R495)</f>
        <v>-152050.69823763194</v>
      </c>
      <c r="S496" s="106">
        <f>SUM(B495:S495)</f>
        <v>-122031.93657950782</v>
      </c>
      <c r="T496" s="106">
        <f>SUM(B495:T495)</f>
        <v>-93058.595439211931</v>
      </c>
      <c r="U496" s="106">
        <f>SUM(B495:U495)</f>
        <v>-67037.00222541827</v>
      </c>
      <c r="V496" s="106">
        <f>SUM(B495:V495)</f>
        <v>-41925.923996769248</v>
      </c>
      <c r="W496" s="106">
        <f>SUM(B495:W495)</f>
        <v>-17695.613039926215</v>
      </c>
      <c r="X496" s="106">
        <f>SUM(B495:X495)</f>
        <v>5682.8790448116197</v>
      </c>
      <c r="Y496" s="106">
        <f>SUM(B495:Y495)</f>
        <v>28237.707716161025</v>
      </c>
      <c r="Z496" s="106">
        <f>SUM(B495:Z495)</f>
        <v>49996.243421121384</v>
      </c>
      <c r="AA496" s="106">
        <f>SUM(B495:AA495)</f>
        <v>70985.08088456915</v>
      </c>
    </row>
    <row r="497" spans="1:27">
      <c r="A497" s="105" t="s">
        <v>47</v>
      </c>
      <c r="B497" s="107">
        <f>IF((ISERR(IRR(B492:B492))),0,IF(IRR(B492:B492)&lt;0,0,IRR(B492:B492)))</f>
        <v>0</v>
      </c>
      <c r="C497" s="107">
        <f>IF((ISERR(IRR(B492:C492))),0,IF(IRR(B492:C492)&lt;0,0,IRR(B492:C492)))</f>
        <v>0</v>
      </c>
      <c r="D497" s="107">
        <f>IF((ISERR(IRR(B492:D492))),0,IF(IRR(B492:D492)&lt;0,0,IRR(B492:D492)))</f>
        <v>0</v>
      </c>
      <c r="E497" s="107">
        <f>IF((ISERR(IRR(B492:E492))),0,IF(IRR(B492:E492)&lt;0,0,IRR(B492:E492)))</f>
        <v>0</v>
      </c>
      <c r="F497" s="107">
        <f>IF((ISERR(IRR(B492:F492))),0,IF(IRR(B492:F492)&lt;0,0,IRR(B492:F492)))</f>
        <v>0</v>
      </c>
      <c r="G497" s="107">
        <f>IF((ISERR(IRR(B492:G492))),0,IF(IRR(B492:G492)&lt;0,0,IRR(B492:G492)))</f>
        <v>0</v>
      </c>
      <c r="H497" s="107">
        <f>IF((ISERR(IRR(B492:H492))),0,IF(IRR(B492:H492)&lt;0,0,IRR(B492:H492)))</f>
        <v>0</v>
      </c>
      <c r="I497" s="107">
        <f>IF((ISERR(IRR(B492:I492))),0,IF(IRR(B492:I492)&lt;0,0,IRR(B492:I492)))</f>
        <v>0</v>
      </c>
      <c r="J497" s="107">
        <f>IF((ISERR(IRR(B492:J492))),0,IF(IRR(B492:J492)&lt;0,0,IRR(B492:J492)))</f>
        <v>0</v>
      </c>
      <c r="K497" s="107">
        <f>IF((ISERR(IRR(B492:K492))),0,IF(IRR(B492:K492)&lt;0,0,IRR(B492:K492)))</f>
        <v>0</v>
      </c>
      <c r="L497" s="107">
        <f>IF((ISERR(IRR(B492:L492))),0,IF(IRR(B492:L492)&lt;0,0,IRR(B492:L492)))</f>
        <v>0</v>
      </c>
      <c r="M497" s="107">
        <f>IF((ISERR(IRR(B492:M492))),0,IF(IRR(B492:M492)&lt;0,0,IRR(B492:M492)))</f>
        <v>2.8358171235949303E-3</v>
      </c>
      <c r="N497" s="107">
        <f>IF((ISERR(IRR(B492:N492))),0,IF(IRR(B492:N492)&lt;0,0,IRR(B492:N492)))</f>
        <v>1.7686729082874164E-2</v>
      </c>
      <c r="O497" s="107">
        <f>IF((ISERR(IRR(B492:O492))),0,IF(IRR(B492:O492)&lt;0,0,IRR(B492:O492)))</f>
        <v>3.0141630886207915E-2</v>
      </c>
      <c r="P497" s="107">
        <f>IF((ISERR(IRR(B492:P492))),0,IF(IRR(B492:P492)&lt;0,0,IRR(B492:P492)))</f>
        <v>4.06506298655267E-2</v>
      </c>
      <c r="Q497" s="107">
        <f>IF((ISERR(IRR(B492:Q492))),0,IF(IRR(B492:Q492)&lt;0,0,IRR(B492:Q492)))</f>
        <v>4.9573555910272571E-2</v>
      </c>
      <c r="R497" s="107">
        <f>IF((ISERR(IRR(B492:R492))),0,IF(IRR(B492:R492)&lt;0,0,IRR(B492:R492)))</f>
        <v>5.719640513364932E-2</v>
      </c>
      <c r="S497" s="107">
        <f>IF((ISERR(IRR(B492:S492))),0,IF(IRR(B492:S492)&lt;0,0,IRR(B492:S492)))</f>
        <v>6.3746698610117392E-2</v>
      </c>
      <c r="T497" s="107">
        <f>IF((ISERR(IRR(B492:T492))),0,IF(IRR(B492:T492)&lt;0,0,IRR(B492:T492)))</f>
        <v>6.9406205662783327E-2</v>
      </c>
      <c r="U497" s="107">
        <f>IF((ISERR(IRR(B492:U492))),0,IF(IRR(B492:U492)&lt;0,0,IRR(B492:U492)))</f>
        <v>7.3998008088026035E-2</v>
      </c>
      <c r="V497" s="107">
        <f>IF((ISERR(IRR(B492:V492))),0,IF(IRR(B492:V492)&lt;0,0,IRR(B492:V492)))</f>
        <v>7.8033501318833798E-2</v>
      </c>
      <c r="W497" s="107">
        <f>IF((ISERR(IRR(B492:W492))),0,IF(IRR(B492:W492)&lt;0,0,IRR(B492:W492)))</f>
        <v>8.1592258201242496E-2</v>
      </c>
      <c r="X497" s="107">
        <f>IF((ISERR(IRR(B492:X492))),0,IF(IRR(B492:X492)&lt;0,0,IRR(B492:X492)))</f>
        <v>8.4740970144170813E-2</v>
      </c>
      <c r="Y497" s="107">
        <f>IF((ISERR(IRR(B492:Y492))),0,IF(IRR(B492:Y492)&lt;0,0,IRR(B492:Y492)))</f>
        <v>8.7535662104972101E-2</v>
      </c>
      <c r="Z497" s="107">
        <f>IF((ISERR(IRR(B492:Z492))),0,IF(IRR(B492:Z492)&lt;0,0,IRR(B492:Z492)))</f>
        <v>9.0023545506298763E-2</v>
      </c>
      <c r="AA497" s="107">
        <f>IF((ISERR(IRR(B492:AA492))),0,IF(IRR(B492:AA492)&lt;0,0,IRR(B492:AA492)))</f>
        <v>9.2244546851058873E-2</v>
      </c>
    </row>
    <row r="498" spans="1:27">
      <c r="A498" s="105" t="s">
        <v>48</v>
      </c>
      <c r="B498" s="108"/>
      <c r="C498" s="108">
        <f t="shared" ref="C498" si="1443">IF(AND(C493&gt;0,B493&lt;0),(C482-(C493/(C493-B493))),0)</f>
        <v>0</v>
      </c>
      <c r="D498" s="108">
        <f t="shared" ref="D498" si="1444">IF(AND(D493&gt;0,C493&lt;0),(D482-(D493/(D493-C493))),0)</f>
        <v>0</v>
      </c>
      <c r="E498" s="108">
        <f t="shared" ref="E498" si="1445">IF(AND(E493&gt;0,D493&lt;0),(E482-(E493/(E493-D493))),0)</f>
        <v>0</v>
      </c>
      <c r="F498" s="108">
        <f t="shared" ref="F498" si="1446">IF(AND(F493&gt;0,E493&lt;0),(F482-(F493/(F493-E493))),0)</f>
        <v>0</v>
      </c>
      <c r="G498" s="108">
        <f t="shared" ref="G498" si="1447">IF(AND(G493&gt;0,F493&lt;0),(G482-(G493/(G493-F493))),0)</f>
        <v>0</v>
      </c>
      <c r="H498" s="108">
        <f t="shared" ref="H498" si="1448">IF(AND(H493&gt;0,G493&lt;0),(H482-(H493/(H493-G493))),0)</f>
        <v>0</v>
      </c>
      <c r="I498" s="108">
        <f t="shared" ref="I498" si="1449">IF(AND(I493&gt;0,H493&lt;0),(I482-(I493/(I493-H493))),0)</f>
        <v>0</v>
      </c>
      <c r="J498" s="108">
        <f t="shared" ref="J498" si="1450">IF(AND(J493&gt;0,I493&lt;0),(J482-(J493/(J493-I493))),0)</f>
        <v>0</v>
      </c>
      <c r="K498" s="108">
        <f t="shared" ref="K498" si="1451">IF(AND(K493&gt;0,J493&lt;0),(K482-(K493/(K493-J493))),0)</f>
        <v>0</v>
      </c>
      <c r="L498" s="108">
        <f t="shared" ref="L498" si="1452">IF(AND(L493&gt;0,K493&lt;0),(L482-(L493/(L493-K493))),0)</f>
        <v>0</v>
      </c>
      <c r="M498" s="108">
        <f t="shared" ref="M498" si="1453">IF(AND(M493&gt;0,L493&lt;0),(M482-(M493/(M493-L493))),0)</f>
        <v>10.82455383332157</v>
      </c>
      <c r="N498" s="108">
        <f t="shared" ref="N498" si="1454">IF(AND(N493&gt;0,M493&lt;0),(N482-(N493/(N493-M493))),0)</f>
        <v>0</v>
      </c>
      <c r="O498" s="108">
        <f t="shared" ref="O498" si="1455">IF(AND(O493&gt;0,N493&lt;0),(O482-(O493/(O493-N493))),0)</f>
        <v>0</v>
      </c>
      <c r="P498" s="108">
        <f>IF(AND(P493&gt;0,O493&lt;0),(P482-(P493/(P493-O493))),0)</f>
        <v>0</v>
      </c>
      <c r="Q498" s="108">
        <f>IF(AND(Q493&gt;0,P493&lt;0),(Q482-(Q493/(Q493-P493))),0)</f>
        <v>0</v>
      </c>
      <c r="R498" s="108">
        <f t="shared" ref="R498" si="1456">IF(AND(R493&gt;0,Q493&lt;0),(R482-(R493/(R493-Q493))),0)</f>
        <v>0</v>
      </c>
      <c r="S498" s="108">
        <f t="shared" ref="S498" si="1457">IF(AND(S493&gt;0,R493&lt;0),(S482-(S493/(S493-R493))),0)</f>
        <v>0</v>
      </c>
      <c r="T498" s="108">
        <f t="shared" ref="T498" si="1458">IF(AND(T493&gt;0,S493&lt;0),(T482-(T493/(T493-S493))),0)</f>
        <v>0</v>
      </c>
      <c r="U498" s="108">
        <f t="shared" ref="U498" si="1459">IF(AND(U493&gt;0,T493&lt;0),(U482-(U493/(U493-T493))),0)</f>
        <v>0</v>
      </c>
      <c r="V498" s="108">
        <f t="shared" ref="V498" si="1460">IF(AND(V493&gt;0,U493&lt;0),(V482-(V493/(V493-U493))),0)</f>
        <v>0</v>
      </c>
      <c r="W498" s="108">
        <f t="shared" ref="W498" si="1461">IF(AND(W493&gt;0,V493&lt;0),(W482-(W493/(W493-V493))),0)</f>
        <v>0</v>
      </c>
      <c r="X498" s="108">
        <f t="shared" ref="X498" si="1462">IF(AND(X493&gt;0,W493&lt;0),(X482-(X493/(X493-W493))),0)</f>
        <v>0</v>
      </c>
      <c r="Y498" s="108">
        <f t="shared" ref="Y498" si="1463">IF(AND(Y493&gt;0,X493&lt;0),(Y482-(Y493/(Y493-X493))),0)</f>
        <v>0</v>
      </c>
      <c r="Z498" s="108">
        <f t="shared" ref="Z498" si="1464">IF(AND(Z493&gt;0,Y493&lt;0),(Z482-(Z493/(Z493-Y493))),0)</f>
        <v>0</v>
      </c>
      <c r="AA498" s="108">
        <f t="shared" ref="AA498" si="1465">IF(AND(AA493&gt;0,Z493&lt;0),(AA482-(AA493/(AA493-Z493))),0)</f>
        <v>0</v>
      </c>
    </row>
    <row r="499" spans="1:27" ht="16.5" thickBot="1">
      <c r="A499" s="109" t="s">
        <v>49</v>
      </c>
      <c r="B499" s="110"/>
      <c r="C499" s="110">
        <f t="shared" ref="C499" si="1466">IF(AND(C496&gt;0,B496&lt;0),(C482-(C496/(C496-B496))),0)</f>
        <v>0</v>
      </c>
      <c r="D499" s="110">
        <f t="shared" ref="D499" si="1467">IF(AND(D496&gt;0,C496&lt;0),(D482-(D496/(D496-C496))),0)</f>
        <v>0</v>
      </c>
      <c r="E499" s="110">
        <f t="shared" ref="E499" si="1468">IF(AND(E496&gt;0,D496&lt;0),(E482-(E496/(E496-D496))),0)</f>
        <v>0</v>
      </c>
      <c r="F499" s="110">
        <f t="shared" ref="F499" si="1469">IF(AND(F496&gt;0,E496&lt;0),(F482-(F496/(F496-E496))),0)</f>
        <v>0</v>
      </c>
      <c r="G499" s="110">
        <f t="shared" ref="G499" si="1470">IF(AND(G496&gt;0,F496&lt;0),(G482-(G496/(G496-F496))),0)</f>
        <v>0</v>
      </c>
      <c r="H499" s="110">
        <f t="shared" ref="H499" si="1471">IF(AND(H496&gt;0,G496&lt;0),(H482-(H496/(H496-G496))),0)</f>
        <v>0</v>
      </c>
      <c r="I499" s="110">
        <f t="shared" ref="I499" si="1472">IF(AND(I496&gt;0,H496&lt;0),(I482-(I496/(I496-H496))),0)</f>
        <v>0</v>
      </c>
      <c r="J499" s="110">
        <f t="shared" ref="J499" si="1473">IF(AND(J496&gt;0,I496&lt;0),(J482-(J496/(J496-I496))),0)</f>
        <v>0</v>
      </c>
      <c r="K499" s="110">
        <f t="shared" ref="K499" si="1474">IF(AND(K496&gt;0,J496&lt;0),(K482-(K496/(K496-J496))),0)</f>
        <v>0</v>
      </c>
      <c r="L499" s="110">
        <f t="shared" ref="L499" si="1475">IF(AND(L496&gt;0,K496&lt;0),(L482-(L496/(L496-K496))),0)</f>
        <v>0</v>
      </c>
      <c r="M499" s="110">
        <f t="shared" ref="M499" si="1476">IF(AND(M496&gt;0,L496&lt;0),(M482-(M496/(M496-L496))),0)</f>
        <v>0</v>
      </c>
      <c r="N499" s="110">
        <f t="shared" ref="N499" si="1477">IF(AND(N496&gt;0,M496&lt;0),(N482-(N496/(N496-M496))),0)</f>
        <v>0</v>
      </c>
      <c r="O499" s="110">
        <f t="shared" ref="O499" si="1478">IF(AND(O496&gt;0,N496&lt;0),(O482-(O496/(O496-N496))),0)</f>
        <v>0</v>
      </c>
      <c r="P499" s="110">
        <f t="shared" ref="P499" si="1479">IF(AND(P496&gt;0,O496&lt;0),(P482-(P496/(P496-O496))),0)</f>
        <v>0</v>
      </c>
      <c r="Q499" s="110">
        <f t="shared" ref="Q499" si="1480">IF(AND(Q496&gt;0,P496&lt;0),(Q482-(Q496/(Q496-P496))),0)</f>
        <v>0</v>
      </c>
      <c r="R499" s="110">
        <f t="shared" ref="R499" si="1481">IF(AND(R496&gt;0,Q496&lt;0),(R482-(R496/(R496-Q496))),0)</f>
        <v>0</v>
      </c>
      <c r="S499" s="110">
        <f t="shared" ref="S499" si="1482">IF(AND(S496&gt;0,R496&lt;0),(S482-(S496/(S496-R496))),0)</f>
        <v>0</v>
      </c>
      <c r="T499" s="110">
        <f t="shared" ref="T499" si="1483">IF(AND(T496&gt;0,S496&lt;0),(T482-(T496/(T496-S496))),0)</f>
        <v>0</v>
      </c>
      <c r="U499" s="110">
        <f t="shared" ref="U499" si="1484">IF(AND(U496&gt;0,T496&lt;0),(U482-(U496/(U496-T496))),0)</f>
        <v>0</v>
      </c>
      <c r="V499" s="110">
        <f t="shared" ref="V499" si="1485">IF(AND(V496&gt;0,U496&lt;0),(V482-(V496/(V496-U496))),0)</f>
        <v>0</v>
      </c>
      <c r="W499" s="110">
        <f t="shared" ref="W499" si="1486">IF(AND(W496&gt;0,V496&lt;0),(W482-(W496/(W496-V496))),0)</f>
        <v>0</v>
      </c>
      <c r="X499" s="110">
        <f t="shared" ref="X499" si="1487">IF(AND(X496&gt;0,W496&lt;0),(X482-(X496/(X496-W496))),0)</f>
        <v>21.756918494819367</v>
      </c>
      <c r="Y499" s="110">
        <f t="shared" ref="Y499" si="1488">IF(AND(Y496&gt;0,X496&lt;0),(Y482-(Y496/(Y496-X496))),0)</f>
        <v>0</v>
      </c>
      <c r="Z499" s="110">
        <f t="shared" ref="Z499" si="1489">IF(AND(Z496&gt;0,Y496&lt;0),(Z482-(Z496/(Z496-Y496))),0)</f>
        <v>0</v>
      </c>
      <c r="AA499" s="110">
        <f>IF(AND(AA496&gt;0,Z496&lt;0),(AA482-(AA496/(AA496-Z496))),0)</f>
        <v>0</v>
      </c>
    </row>
    <row r="501" spans="1:27" hidden="1"/>
    <row r="502" spans="1:27" ht="16.5" hidden="1" thickBot="1">
      <c r="A502" s="58" t="s">
        <v>299</v>
      </c>
      <c r="B502" s="58" t="s">
        <v>300</v>
      </c>
      <c r="D502" s="59"/>
      <c r="E502" s="60"/>
      <c r="F502" s="60"/>
      <c r="G502" s="60"/>
      <c r="H502" s="60"/>
    </row>
    <row r="503" spans="1:27" hidden="1">
      <c r="A503" s="61" t="s">
        <v>301</v>
      </c>
      <c r="B503" s="677">
        <f>0.76*1000000/1.18</f>
        <v>644067.79661016958</v>
      </c>
      <c r="C503" s="62"/>
      <c r="D503" s="62"/>
      <c r="E503" s="62"/>
      <c r="F503" s="62"/>
      <c r="G503" s="62"/>
      <c r="H503" s="62"/>
      <c r="I503" s="62"/>
      <c r="J503" s="62"/>
      <c r="K503" s="62"/>
    </row>
    <row r="504" spans="1:27" hidden="1">
      <c r="A504" s="63" t="s">
        <v>302</v>
      </c>
      <c r="B504" s="64">
        <v>0</v>
      </c>
      <c r="C504" s="62"/>
      <c r="D504" s="62"/>
      <c r="E504" s="62"/>
      <c r="F504" s="62"/>
      <c r="G504" s="62"/>
      <c r="H504" s="62"/>
      <c r="I504" s="62"/>
      <c r="J504" s="62"/>
      <c r="K504" s="62"/>
    </row>
    <row r="505" spans="1:27" hidden="1">
      <c r="A505" s="63" t="s">
        <v>303</v>
      </c>
      <c r="B505" s="64">
        <v>15</v>
      </c>
      <c r="C505" s="62"/>
      <c r="D505" s="57" t="s">
        <v>304</v>
      </c>
      <c r="E505" s="62"/>
      <c r="F505" s="62"/>
      <c r="G505" s="62"/>
      <c r="H505" s="62"/>
      <c r="I505" s="62"/>
      <c r="J505" s="62"/>
      <c r="K505" s="62"/>
    </row>
    <row r="506" spans="1:27" ht="16.5" hidden="1" thickBot="1">
      <c r="A506" s="65" t="s">
        <v>305</v>
      </c>
      <c r="B506" s="68">
        <v>1</v>
      </c>
      <c r="C506" s="62"/>
      <c r="D506" s="929" t="s">
        <v>306</v>
      </c>
      <c r="E506" s="929"/>
      <c r="F506" s="934">
        <f>SUM(B568:X568)</f>
        <v>8.7394802544668888</v>
      </c>
      <c r="G506" s="935">
        <f>SUM(C568:Y568)</f>
        <v>8.7394802544668888</v>
      </c>
      <c r="K506" s="66"/>
    </row>
    <row r="507" spans="1:27" hidden="1">
      <c r="A507" s="70" t="s">
        <v>469</v>
      </c>
      <c r="B507" s="473">
        <f>B503*0.417/100</f>
        <v>2685.7627118644073</v>
      </c>
      <c r="C507" s="62"/>
      <c r="D507" s="929" t="s">
        <v>470</v>
      </c>
      <c r="E507" s="929"/>
      <c r="F507" s="934">
        <f>IF(SUM(B569:AA569)=0,"не окупается",SUM(B569:AA569))</f>
        <v>15.070728632385338</v>
      </c>
      <c r="G507" s="935"/>
      <c r="K507" s="66"/>
    </row>
    <row r="508" spans="1:27" hidden="1">
      <c r="A508" s="72" t="s">
        <v>471</v>
      </c>
      <c r="B508" s="474">
        <v>5</v>
      </c>
      <c r="C508" s="62"/>
      <c r="D508" s="929" t="s">
        <v>50</v>
      </c>
      <c r="E508" s="929"/>
      <c r="F508" s="932">
        <f>AA566</f>
        <v>276047.02013329772</v>
      </c>
      <c r="G508" s="933"/>
      <c r="K508" s="66"/>
    </row>
    <row r="509" spans="1:27" hidden="1">
      <c r="A509" s="72" t="s">
        <v>6</v>
      </c>
      <c r="B509" s="474">
        <v>1</v>
      </c>
      <c r="C509" s="62"/>
      <c r="D509" s="929" t="s">
        <v>7</v>
      </c>
      <c r="E509" s="929"/>
      <c r="F509" s="930" t="str">
        <f>IF(F508&gt;0,"да","нет")</f>
        <v>да</v>
      </c>
      <c r="G509" s="931"/>
      <c r="K509" s="66"/>
    </row>
    <row r="510" spans="1:27" hidden="1">
      <c r="A510" s="72" t="s">
        <v>8</v>
      </c>
      <c r="B510" s="474">
        <f>B503*0.0375/100</f>
        <v>241.52542372881359</v>
      </c>
      <c r="C510" s="62"/>
      <c r="D510" s="62"/>
      <c r="E510" s="62"/>
      <c r="F510" s="62"/>
      <c r="G510" s="62"/>
      <c r="H510" s="62"/>
      <c r="I510" s="62"/>
      <c r="J510" s="62"/>
      <c r="K510" s="62"/>
    </row>
    <row r="511" spans="1:27" hidden="1">
      <c r="A511" s="72" t="s">
        <v>9</v>
      </c>
      <c r="B511" s="475">
        <v>5</v>
      </c>
      <c r="C511" s="62"/>
      <c r="D511" s="62"/>
      <c r="E511" s="62"/>
      <c r="F511" s="62"/>
      <c r="G511" s="62"/>
      <c r="H511" s="62"/>
      <c r="I511" s="62"/>
      <c r="J511" s="62"/>
      <c r="K511" s="62"/>
    </row>
    <row r="512" spans="1:27" hidden="1">
      <c r="A512" s="72" t="s">
        <v>10</v>
      </c>
      <c r="B512" s="475">
        <v>1</v>
      </c>
      <c r="C512" s="62"/>
      <c r="D512" s="62"/>
      <c r="E512" s="62"/>
      <c r="F512" s="62"/>
      <c r="G512" s="62"/>
      <c r="H512" s="62"/>
      <c r="I512" s="62"/>
      <c r="J512" s="62"/>
      <c r="K512" s="62"/>
    </row>
    <row r="513" spans="1:27" hidden="1">
      <c r="A513" s="75" t="s">
        <v>290</v>
      </c>
      <c r="B513" s="475">
        <v>0</v>
      </c>
      <c r="C513" s="62"/>
      <c r="D513" s="62"/>
      <c r="E513" s="62"/>
      <c r="F513" s="62"/>
      <c r="G513" s="62"/>
      <c r="H513" s="62"/>
      <c r="I513" s="62"/>
      <c r="J513" s="62"/>
      <c r="K513" s="62"/>
    </row>
    <row r="514" spans="1:27" ht="16.5" hidden="1" thickBot="1">
      <c r="A514" s="471" t="s">
        <v>100</v>
      </c>
      <c r="B514" s="476">
        <v>0.2</v>
      </c>
      <c r="C514" s="62"/>
      <c r="D514" s="62"/>
      <c r="E514" s="62"/>
      <c r="F514" s="62"/>
      <c r="G514" s="62"/>
      <c r="H514" s="62"/>
      <c r="I514" s="62"/>
      <c r="J514" s="62"/>
      <c r="K514" s="62"/>
    </row>
    <row r="515" spans="1:27" hidden="1">
      <c r="A515" s="61" t="s">
        <v>290</v>
      </c>
      <c r="B515" s="472">
        <v>0</v>
      </c>
      <c r="C515" s="62"/>
      <c r="D515" s="62"/>
      <c r="E515" s="62"/>
      <c r="F515" s="62"/>
      <c r="G515" s="62"/>
      <c r="H515" s="62"/>
      <c r="I515" s="62"/>
      <c r="J515" s="62"/>
      <c r="K515" s="62"/>
    </row>
    <row r="516" spans="1:27" hidden="1">
      <c r="A516" s="63" t="s">
        <v>11</v>
      </c>
      <c r="B516" s="64">
        <v>0</v>
      </c>
      <c r="C516" s="62"/>
      <c r="D516" s="62"/>
      <c r="E516" s="62"/>
      <c r="F516" s="62"/>
      <c r="G516" s="62"/>
      <c r="H516" s="62"/>
      <c r="I516" s="62"/>
      <c r="J516" s="62"/>
      <c r="K516" s="62"/>
    </row>
    <row r="517" spans="1:27" ht="16.5" hidden="1" thickBot="1">
      <c r="A517" s="67" t="s">
        <v>12</v>
      </c>
      <c r="B517" s="69">
        <v>0.1</v>
      </c>
      <c r="C517" s="62"/>
      <c r="D517" s="62"/>
      <c r="E517" s="62"/>
      <c r="F517" s="62"/>
      <c r="G517" s="62"/>
      <c r="H517" s="62"/>
      <c r="I517" s="62"/>
      <c r="J517" s="62"/>
      <c r="K517" s="62"/>
    </row>
    <row r="518" spans="1:27" hidden="1">
      <c r="A518" s="70" t="s">
        <v>13</v>
      </c>
      <c r="B518" s="71">
        <v>7</v>
      </c>
    </row>
    <row r="519" spans="1:27" hidden="1">
      <c r="A519" s="72" t="s">
        <v>14</v>
      </c>
      <c r="B519" s="73">
        <v>0.14000000000000001</v>
      </c>
    </row>
    <row r="520" spans="1:27" hidden="1">
      <c r="A520" s="72" t="s">
        <v>15</v>
      </c>
      <c r="B520" s="74">
        <v>0.14000000000000001</v>
      </c>
    </row>
    <row r="521" spans="1:27" hidden="1">
      <c r="A521" s="72" t="s">
        <v>16</v>
      </c>
      <c r="B521" s="74">
        <f>+(B531+B532)/B503</f>
        <v>0</v>
      </c>
    </row>
    <row r="522" spans="1:27" hidden="1">
      <c r="A522" s="72" t="s">
        <v>17</v>
      </c>
      <c r="B522" s="74">
        <v>8.4000000000000005E-2</v>
      </c>
    </row>
    <row r="523" spans="1:27" hidden="1">
      <c r="A523" s="72" t="s">
        <v>18</v>
      </c>
      <c r="B523" s="74">
        <f>1-B521</f>
        <v>1</v>
      </c>
    </row>
    <row r="524" spans="1:27" ht="16.5" hidden="1" thickBot="1">
      <c r="A524" s="75" t="s">
        <v>19</v>
      </c>
      <c r="B524" s="76">
        <f>B523*B522+B521*B520*(1-B514)</f>
        <v>8.4000000000000005E-2</v>
      </c>
    </row>
    <row r="525" spans="1:27" ht="47.25" hidden="1">
      <c r="A525" s="77" t="s">
        <v>20</v>
      </c>
      <c r="B525" s="78" t="s">
        <v>553</v>
      </c>
      <c r="C525" s="79">
        <v>2017</v>
      </c>
      <c r="D525" s="80">
        <f t="shared" ref="D525" si="1490">C525+1</f>
        <v>2018</v>
      </c>
      <c r="E525" s="80">
        <f t="shared" ref="E525" si="1491">D525+1</f>
        <v>2019</v>
      </c>
      <c r="F525" s="80">
        <f t="shared" ref="F525" si="1492">E525+1</f>
        <v>2020</v>
      </c>
      <c r="G525" s="80">
        <f t="shared" ref="G525" si="1493">F525+1</f>
        <v>2021</v>
      </c>
      <c r="H525" s="80">
        <f t="shared" ref="H525" si="1494">G525+1</f>
        <v>2022</v>
      </c>
      <c r="I525" s="80">
        <f t="shared" ref="I525" si="1495">H525+1</f>
        <v>2023</v>
      </c>
      <c r="J525" s="80">
        <f t="shared" ref="J525" si="1496">I525+1</f>
        <v>2024</v>
      </c>
      <c r="K525" s="80">
        <f t="shared" ref="K525" si="1497">J525+1</f>
        <v>2025</v>
      </c>
      <c r="L525" s="81">
        <f t="shared" ref="L525" si="1498">K525+1</f>
        <v>2026</v>
      </c>
      <c r="M525" s="81">
        <f t="shared" ref="M525" si="1499">L525+1</f>
        <v>2027</v>
      </c>
      <c r="N525" s="81">
        <f t="shared" ref="N525" si="1500">M525+1</f>
        <v>2028</v>
      </c>
      <c r="O525" s="81">
        <f t="shared" ref="O525" si="1501">N525+1</f>
        <v>2029</v>
      </c>
      <c r="P525" s="81">
        <f t="shared" ref="P525" si="1502">O525+1</f>
        <v>2030</v>
      </c>
      <c r="Q525" s="81">
        <f t="shared" ref="Q525" si="1503">P525+1</f>
        <v>2031</v>
      </c>
      <c r="R525" s="81">
        <f t="shared" ref="R525" si="1504">Q525+1</f>
        <v>2032</v>
      </c>
      <c r="S525" s="81">
        <f t="shared" ref="S525" si="1505">R525+1</f>
        <v>2033</v>
      </c>
      <c r="T525" s="81">
        <f t="shared" ref="T525" si="1506">S525+1</f>
        <v>2034</v>
      </c>
      <c r="U525" s="81">
        <f t="shared" ref="U525" si="1507">T525+1</f>
        <v>2035</v>
      </c>
      <c r="V525" s="81">
        <f t="shared" ref="V525" si="1508">U525+1</f>
        <v>2036</v>
      </c>
      <c r="W525" s="81">
        <f t="shared" ref="W525" si="1509">V525+1</f>
        <v>2037</v>
      </c>
      <c r="X525" s="81">
        <f t="shared" ref="X525" si="1510">W525+1</f>
        <v>2038</v>
      </c>
      <c r="Y525" s="81">
        <f t="shared" ref="Y525" si="1511">X525+1</f>
        <v>2039</v>
      </c>
      <c r="Z525" s="81">
        <f t="shared" ref="Z525" si="1512">Y525+1</f>
        <v>2040</v>
      </c>
      <c r="AA525" s="82">
        <f t="shared" ref="AA525" si="1513">Z525+1</f>
        <v>2041</v>
      </c>
    </row>
    <row r="526" spans="1:27" hidden="1">
      <c r="A526" s="83" t="s">
        <v>21</v>
      </c>
      <c r="B526" s="84">
        <v>4.3999999999999997E-2</v>
      </c>
      <c r="C526" s="84">
        <v>4.3999999999999997E-2</v>
      </c>
      <c r="D526" s="84">
        <v>4.3999999999999997E-2</v>
      </c>
      <c r="E526" s="84">
        <v>4.3999999999999997E-2</v>
      </c>
      <c r="F526" s="84">
        <v>4.3999999999999997E-2</v>
      </c>
      <c r="G526" s="84">
        <v>4.3999999999999997E-2</v>
      </c>
      <c r="H526" s="84">
        <v>4.3999999999999997E-2</v>
      </c>
      <c r="I526" s="84">
        <v>4.3999999999999997E-2</v>
      </c>
      <c r="J526" s="84">
        <v>4.3999999999999997E-2</v>
      </c>
      <c r="K526" s="84">
        <v>4.3999999999999997E-2</v>
      </c>
      <c r="L526" s="84">
        <v>4.3999999999999997E-2</v>
      </c>
      <c r="M526" s="84">
        <v>4.3999999999999997E-2</v>
      </c>
      <c r="N526" s="84">
        <v>4.3999999999999997E-2</v>
      </c>
      <c r="O526" s="84">
        <v>4.3999999999999997E-2</v>
      </c>
      <c r="P526" s="84">
        <v>4.3999999999999997E-2</v>
      </c>
      <c r="Q526" s="84">
        <v>4.3999999999999997E-2</v>
      </c>
      <c r="R526" s="84">
        <v>4.3999999999999997E-2</v>
      </c>
      <c r="S526" s="84">
        <v>4.3999999999999997E-2</v>
      </c>
      <c r="T526" s="84">
        <v>4.3999999999999997E-2</v>
      </c>
      <c r="U526" s="84">
        <v>4.3999999999999997E-2</v>
      </c>
      <c r="V526" s="84">
        <v>4.3999999999999997E-2</v>
      </c>
      <c r="W526" s="84">
        <v>4.3999999999999997E-2</v>
      </c>
      <c r="X526" s="84">
        <v>4.3999999999999997E-2</v>
      </c>
      <c r="Y526" s="84">
        <v>4.3999999999999997E-2</v>
      </c>
      <c r="Z526" s="84">
        <v>4.3999999999999997E-2</v>
      </c>
      <c r="AA526" s="84">
        <v>4.3999999999999997E-2</v>
      </c>
    </row>
    <row r="527" spans="1:27" hidden="1">
      <c r="A527" s="83" t="s">
        <v>22</v>
      </c>
      <c r="B527" s="84">
        <f>B526</f>
        <v>4.3999999999999997E-2</v>
      </c>
      <c r="C527" s="84">
        <f>(1+B527)*(1+C526)-1</f>
        <v>8.9936000000000016E-2</v>
      </c>
      <c r="D527" s="84">
        <f>(1+C527)*(1+D526)-1</f>
        <v>0.13789318400000017</v>
      </c>
      <c r="E527" s="84">
        <f t="shared" ref="E527" si="1514">(1+D527)*(1+E526)-1</f>
        <v>0.1879604840960003</v>
      </c>
      <c r="F527" s="84">
        <f t="shared" ref="F527" si="1515">(1+E527)*(1+F526)-1</f>
        <v>0.24023074539622447</v>
      </c>
      <c r="G527" s="84">
        <f t="shared" ref="G527" si="1516">(1+F527)*(1+G526)-1</f>
        <v>0.29480089819365829</v>
      </c>
      <c r="H527" s="84">
        <f t="shared" ref="H527" si="1517">(1+G527)*(1+H526)-1</f>
        <v>0.35177213771417937</v>
      </c>
      <c r="I527" s="84">
        <f t="shared" ref="I527" si="1518">(1+H527)*(1+I526)-1</f>
        <v>0.41125011177360338</v>
      </c>
      <c r="J527" s="84">
        <f t="shared" ref="J527" si="1519">(1+I527)*(1+J526)-1</f>
        <v>0.47334511669164203</v>
      </c>
      <c r="K527" s="84">
        <f t="shared" ref="K527" si="1520">(1+J527)*(1+K526)-1</f>
        <v>0.53817230182607423</v>
      </c>
      <c r="L527" s="84">
        <f t="shared" ref="L527" si="1521">(1+K527)*(1+L526)-1</f>
        <v>0.60585188310642146</v>
      </c>
      <c r="M527" s="84">
        <f t="shared" ref="M527" si="1522">(1+L527)*(1+M526)-1</f>
        <v>0.67650936596310407</v>
      </c>
      <c r="N527" s="84">
        <f t="shared" ref="N527" si="1523">(1+M527)*(1+N526)-1</f>
        <v>0.75027577806548074</v>
      </c>
      <c r="O527" s="84">
        <f t="shared" ref="O527" si="1524">(1+N527)*(1+O526)-1</f>
        <v>0.82728791230036203</v>
      </c>
      <c r="P527" s="84">
        <f t="shared" ref="P527" si="1525">(1+O527)*(1+P526)-1</f>
        <v>0.90768858044157796</v>
      </c>
      <c r="Q527" s="84">
        <f t="shared" ref="Q527" si="1526">(1+P527)*(1+Q526)-1</f>
        <v>0.99162687798100757</v>
      </c>
      <c r="R527" s="84">
        <f t="shared" ref="R527" si="1527">(1+Q527)*(1+R526)-1</f>
        <v>1.0792584606121718</v>
      </c>
      <c r="S527" s="84">
        <f t="shared" ref="S527" si="1528">(1+R527)*(1+S526)-1</f>
        <v>1.1707458328791076</v>
      </c>
      <c r="T527" s="84">
        <f t="shared" ref="T527" si="1529">(1+S527)*(1+T526)-1</f>
        <v>1.2662586495257884</v>
      </c>
      <c r="U527" s="84">
        <f t="shared" ref="U527" si="1530">(1+T527)*(1+U526)-1</f>
        <v>1.365974030104923</v>
      </c>
      <c r="V527" s="84">
        <f t="shared" ref="V527" si="1531">(1+U527)*(1+V526)-1</f>
        <v>1.4700768874295398</v>
      </c>
      <c r="W527" s="84">
        <f t="shared" ref="W527" si="1532">(1+V527)*(1+W526)-1</f>
        <v>1.5787602704764399</v>
      </c>
      <c r="X527" s="84">
        <f t="shared" ref="X527" si="1533">(1+W527)*(1+X526)-1</f>
        <v>1.6922257223774033</v>
      </c>
      <c r="Y527" s="84">
        <f t="shared" ref="Y527" si="1534">(1+X527)*(1+Y526)-1</f>
        <v>1.810683654162009</v>
      </c>
      <c r="Z527" s="84">
        <f t="shared" ref="Z527" si="1535">(1+Y527)*(1+Z526)-1</f>
        <v>1.9343537349451374</v>
      </c>
      <c r="AA527" s="84">
        <f t="shared" ref="AA527" si="1536">(1+Z527)*(1+AA526)-1</f>
        <v>2.0634652992827234</v>
      </c>
    </row>
    <row r="528" spans="1:27" ht="16.5" hidden="1" thickBot="1">
      <c r="A528" s="85" t="s">
        <v>23</v>
      </c>
      <c r="B528" s="86"/>
      <c r="C528" s="679">
        <f>B503*0.12*1.075</f>
        <v>83084.745762711871</v>
      </c>
      <c r="D528" s="679">
        <f>C528*(1+D526)</f>
        <v>86740.474576271197</v>
      </c>
      <c r="E528" s="679">
        <f t="shared" ref="E528" si="1537">D528*(1+E526)</f>
        <v>90557.055457627139</v>
      </c>
      <c r="F528" s="87">
        <f t="shared" ref="F528" si="1538">E528*(1+F526)</f>
        <v>94541.565897762732</v>
      </c>
      <c r="G528" s="87">
        <f t="shared" ref="G528" si="1539">F528*(1+G526)</f>
        <v>98701.394797264293</v>
      </c>
      <c r="H528" s="87">
        <f t="shared" ref="H528" si="1540">G528*(1+H526)</f>
        <v>103044.25616834393</v>
      </c>
      <c r="I528" s="87">
        <f t="shared" ref="I528" si="1541">H528*(1+I526)</f>
        <v>107578.20343975106</v>
      </c>
      <c r="J528" s="87">
        <f t="shared" ref="J528" si="1542">I528*(1+J526)</f>
        <v>112311.64439110011</v>
      </c>
      <c r="K528" s="87">
        <f t="shared" ref="K528" si="1543">J528*(1+K526)</f>
        <v>117253.35674430852</v>
      </c>
      <c r="L528" s="87">
        <f t="shared" ref="L528" si="1544">K528*(1+L526)</f>
        <v>122412.5044410581</v>
      </c>
      <c r="M528" s="87">
        <f t="shared" ref="M528" si="1545">L528*(1+M526)</f>
        <v>127798.65463646466</v>
      </c>
      <c r="N528" s="87">
        <f t="shared" ref="N528" si="1546">M528*(1+N526)</f>
        <v>133421.79544046911</v>
      </c>
      <c r="O528" s="87">
        <f t="shared" ref="O528" si="1547">N528*(1+O526)</f>
        <v>139292.35443984976</v>
      </c>
      <c r="P528" s="87">
        <f t="shared" ref="P528" si="1548">O528*(1+P526)</f>
        <v>145421.21803520314</v>
      </c>
      <c r="Q528" s="87">
        <f t="shared" ref="Q528" si="1549">P528*(1+Q526)</f>
        <v>151819.7516287521</v>
      </c>
      <c r="R528" s="87">
        <f t="shared" ref="R528" si="1550">Q528*(1+R526)</f>
        <v>158499.82070041719</v>
      </c>
      <c r="S528" s="87">
        <f t="shared" ref="S528" si="1551">R528*(1+S526)</f>
        <v>165473.81281123555</v>
      </c>
      <c r="T528" s="87">
        <f t="shared" ref="T528" si="1552">S528*(1+T526)</f>
        <v>172754.66057492991</v>
      </c>
      <c r="U528" s="87">
        <f t="shared" ref="U528" si="1553">T528*(1+U526)</f>
        <v>180355.86564022684</v>
      </c>
      <c r="V528" s="87">
        <f t="shared" ref="V528" si="1554">U528*(1+V526)</f>
        <v>188291.52372839683</v>
      </c>
      <c r="W528" s="87">
        <f t="shared" ref="W528" si="1555">V528*(1+W526)</f>
        <v>196576.35077244631</v>
      </c>
      <c r="X528" s="87">
        <f t="shared" ref="X528" si="1556">W528*(1+X526)</f>
        <v>205225.71020643396</v>
      </c>
      <c r="Y528" s="87">
        <f t="shared" ref="Y528" si="1557">X528*(1+Y526)</f>
        <v>214255.64145551706</v>
      </c>
      <c r="Z528" s="87">
        <f t="shared" ref="Z528" si="1558">Y528*(1+Z526)</f>
        <v>223682.88967955983</v>
      </c>
      <c r="AA528" s="87">
        <f t="shared" ref="AA528" si="1559">Z528*(1+AA526)</f>
        <v>233524.93682546046</v>
      </c>
    </row>
    <row r="529" spans="1:27" ht="16.5" hidden="1" thickBot="1"/>
    <row r="530" spans="1:27" ht="47.25" hidden="1">
      <c r="A530" s="88" t="s">
        <v>24</v>
      </c>
      <c r="B530" s="78" t="s">
        <v>553</v>
      </c>
      <c r="C530" s="79">
        <f>C525</f>
        <v>2017</v>
      </c>
      <c r="D530" s="80">
        <f t="shared" ref="D530" si="1560">C530+1</f>
        <v>2018</v>
      </c>
      <c r="E530" s="80">
        <f t="shared" ref="E530" si="1561">D530+1</f>
        <v>2019</v>
      </c>
      <c r="F530" s="80">
        <f t="shared" ref="F530" si="1562">E530+1</f>
        <v>2020</v>
      </c>
      <c r="G530" s="80">
        <f t="shared" ref="G530" si="1563">F530+1</f>
        <v>2021</v>
      </c>
      <c r="H530" s="80">
        <f t="shared" ref="H530" si="1564">G530+1</f>
        <v>2022</v>
      </c>
      <c r="I530" s="80">
        <f t="shared" ref="I530" si="1565">H530+1</f>
        <v>2023</v>
      </c>
      <c r="J530" s="80">
        <f t="shared" ref="J530" si="1566">I530+1</f>
        <v>2024</v>
      </c>
      <c r="K530" s="80">
        <f t="shared" ref="K530" si="1567">J530+1</f>
        <v>2025</v>
      </c>
      <c r="L530" s="80">
        <f t="shared" ref="L530" si="1568">K530+1</f>
        <v>2026</v>
      </c>
      <c r="M530" s="80">
        <f t="shared" ref="M530" si="1569">L530+1</f>
        <v>2027</v>
      </c>
      <c r="N530" s="80">
        <f t="shared" ref="N530" si="1570">M530+1</f>
        <v>2028</v>
      </c>
      <c r="O530" s="80">
        <f t="shared" ref="O530" si="1571">N530+1</f>
        <v>2029</v>
      </c>
      <c r="P530" s="80">
        <f t="shared" ref="P530" si="1572">O530+1</f>
        <v>2030</v>
      </c>
      <c r="Q530" s="80">
        <f t="shared" ref="Q530" si="1573">P530+1</f>
        <v>2031</v>
      </c>
      <c r="R530" s="80">
        <f t="shared" ref="R530" si="1574">Q530+1</f>
        <v>2032</v>
      </c>
      <c r="S530" s="80">
        <f t="shared" ref="S530" si="1575">R530+1</f>
        <v>2033</v>
      </c>
      <c r="T530" s="80">
        <f t="shared" ref="T530" si="1576">S530+1</f>
        <v>2034</v>
      </c>
      <c r="U530" s="80">
        <f t="shared" ref="U530" si="1577">T530+1</f>
        <v>2035</v>
      </c>
      <c r="V530" s="80">
        <f t="shared" ref="V530" si="1578">U530+1</f>
        <v>2036</v>
      </c>
      <c r="W530" s="80">
        <f t="shared" ref="W530" si="1579">V530+1</f>
        <v>2037</v>
      </c>
      <c r="X530" s="80">
        <f t="shared" ref="X530" si="1580">W530+1</f>
        <v>2038</v>
      </c>
      <c r="Y530" s="80">
        <f t="shared" ref="Y530" si="1581">X530+1</f>
        <v>2039</v>
      </c>
      <c r="Z530" s="80">
        <f t="shared" ref="Z530" si="1582">Y530+1</f>
        <v>2040</v>
      </c>
      <c r="AA530" s="80">
        <f t="shared" ref="AA530" si="1583">Z530+1</f>
        <v>2041</v>
      </c>
    </row>
    <row r="531" spans="1:27" hidden="1">
      <c r="A531" s="89" t="s">
        <v>25</v>
      </c>
      <c r="B531" s="90">
        <v>0</v>
      </c>
      <c r="C531" s="90">
        <f t="shared" ref="C531" si="1584">B531+B532-B533</f>
        <v>0</v>
      </c>
      <c r="D531" s="90">
        <f>C531+C532-C533</f>
        <v>0</v>
      </c>
      <c r="E531" s="90">
        <f>D531+D532-D533</f>
        <v>0</v>
      </c>
      <c r="F531" s="90">
        <f t="shared" ref="F531" si="1585">E531+E532-E533</f>
        <v>0</v>
      </c>
      <c r="G531" s="90">
        <f t="shared" ref="G531" si="1586">F531+F532-F533</f>
        <v>0</v>
      </c>
      <c r="H531" s="90">
        <f t="shared" ref="H531" si="1587">G531+G532-G533</f>
        <v>0</v>
      </c>
      <c r="I531" s="90">
        <f>H531+H532-H533</f>
        <v>0</v>
      </c>
      <c r="J531" s="90">
        <f t="shared" ref="J531" si="1588">I531+I532-I533</f>
        <v>0</v>
      </c>
      <c r="K531" s="90">
        <f t="shared" ref="K531" si="1589">J531+J532-J533</f>
        <v>0</v>
      </c>
      <c r="L531" s="90">
        <f t="shared" ref="L531" si="1590">K531+K532-K533</f>
        <v>0</v>
      </c>
      <c r="M531" s="90">
        <f>L531+L532-L533</f>
        <v>0</v>
      </c>
      <c r="N531" s="90">
        <f t="shared" ref="N531" si="1591">M531+M532-M533</f>
        <v>0</v>
      </c>
      <c r="O531" s="90">
        <f t="shared" ref="O531" si="1592">N531+N532-N533</f>
        <v>0</v>
      </c>
      <c r="P531" s="90">
        <f t="shared" ref="P531" si="1593">O531+O532-O533</f>
        <v>0</v>
      </c>
      <c r="Q531" s="90">
        <f t="shared" ref="Q531" si="1594">P531+P532-P533</f>
        <v>0</v>
      </c>
      <c r="R531" s="344">
        <f t="shared" ref="R531" si="1595">Q531+Q532-Q533</f>
        <v>0</v>
      </c>
      <c r="S531" s="344">
        <f t="shared" ref="S531" si="1596">R531+R532-R533</f>
        <v>0</v>
      </c>
      <c r="T531" s="344">
        <f t="shared" ref="T531" si="1597">S531+S532-S533</f>
        <v>0</v>
      </c>
      <c r="U531" s="344">
        <f t="shared" ref="U531" si="1598">T531+T532-T533</f>
        <v>0</v>
      </c>
      <c r="V531" s="344">
        <f t="shared" ref="V531" si="1599">U531+U532-U533</f>
        <v>0</v>
      </c>
      <c r="W531" s="344">
        <f t="shared" ref="W531" si="1600">V531+V532-V533</f>
        <v>0</v>
      </c>
      <c r="X531" s="344">
        <f t="shared" ref="X531" si="1601">W531+W532-W533</f>
        <v>0</v>
      </c>
      <c r="Y531" s="344">
        <f t="shared" ref="Y531" si="1602">X531+X532-X533</f>
        <v>0</v>
      </c>
      <c r="Z531" s="344">
        <f t="shared" ref="Z531" si="1603">Y531+Y532-Y533</f>
        <v>0</v>
      </c>
      <c r="AA531" s="344">
        <f t="shared" ref="AA531" si="1604">Z531+Z532-Z533</f>
        <v>0</v>
      </c>
    </row>
    <row r="532" spans="1:27" hidden="1">
      <c r="A532" s="89" t="s">
        <v>26</v>
      </c>
      <c r="B532" s="596">
        <v>0</v>
      </c>
      <c r="C532" s="596">
        <v>0</v>
      </c>
      <c r="D532" s="596">
        <v>0</v>
      </c>
      <c r="E532" s="596">
        <v>0</v>
      </c>
      <c r="F532" s="596">
        <v>0</v>
      </c>
      <c r="G532" s="90">
        <v>0</v>
      </c>
      <c r="H532" s="124">
        <v>0</v>
      </c>
      <c r="I532" s="124">
        <v>0</v>
      </c>
      <c r="J532" s="124">
        <v>0</v>
      </c>
      <c r="K532" s="124">
        <v>0</v>
      </c>
      <c r="L532" s="124">
        <v>0</v>
      </c>
      <c r="M532" s="124">
        <v>0</v>
      </c>
      <c r="N532" s="124">
        <v>0</v>
      </c>
      <c r="O532" s="124">
        <v>0</v>
      </c>
      <c r="P532" s="124">
        <v>0</v>
      </c>
      <c r="Q532" s="124">
        <v>0</v>
      </c>
      <c r="R532" s="344">
        <v>0</v>
      </c>
      <c r="S532" s="344">
        <v>0</v>
      </c>
      <c r="T532" s="344">
        <v>0</v>
      </c>
      <c r="U532" s="344">
        <v>0</v>
      </c>
      <c r="V532" s="344">
        <v>0</v>
      </c>
      <c r="W532" s="344">
        <v>0</v>
      </c>
      <c r="X532" s="344">
        <v>0</v>
      </c>
      <c r="Y532" s="344">
        <v>0</v>
      </c>
      <c r="Z532" s="344">
        <v>0</v>
      </c>
      <c r="AA532" s="344">
        <v>0</v>
      </c>
    </row>
    <row r="533" spans="1:27" hidden="1">
      <c r="A533" s="83" t="s">
        <v>27</v>
      </c>
      <c r="B533" s="124">
        <v>0</v>
      </c>
      <c r="C533" s="124">
        <v>0</v>
      </c>
      <c r="D533" s="124">
        <v>0</v>
      </c>
      <c r="E533" s="124"/>
      <c r="F533" s="90"/>
      <c r="G533" s="124">
        <f>G531/7</f>
        <v>0</v>
      </c>
      <c r="H533" s="90">
        <f>IF(ROUND(H531,1)=0,0,G533+H532/$B$30)</f>
        <v>0</v>
      </c>
      <c r="I533" s="90">
        <f>IF(ROUND(I531,1)=0,0,H533+I532/$B$30)</f>
        <v>0</v>
      </c>
      <c r="J533" s="90">
        <f>IF(ROUND(J531,1)=0,0,I533+J532/B518)</f>
        <v>0</v>
      </c>
      <c r="K533" s="90">
        <f>IF(ROUND(K531,1)=0,0,J533+K532/B518)</f>
        <v>0</v>
      </c>
      <c r="L533" s="90">
        <f>IF(ROUND(L531,1)=0,0,K533+L532/B518)</f>
        <v>0</v>
      </c>
      <c r="M533" s="90">
        <f>IF(ROUND(M531,1)=0,0,L533+M532/B518)</f>
        <v>0</v>
      </c>
      <c r="N533" s="90">
        <f>IF(ROUND(N531,1)=0,0,M533+N532/B518)</f>
        <v>0</v>
      </c>
      <c r="O533" s="90">
        <f>IF(ROUND(O531,1)=0,0,N533+O532/B518)</f>
        <v>0</v>
      </c>
      <c r="P533" s="90">
        <f>IF(ROUND(P531,1)=0,0,O533+P532/B518)</f>
        <v>0</v>
      </c>
      <c r="Q533" s="90">
        <f>IF(ROUND(Q531,1)=0,0,P533+Q532/B518)</f>
        <v>0</v>
      </c>
      <c r="R533" s="344">
        <f>IF(ROUND(R531,1)=0,0,Q533+R532/B518)</f>
        <v>0</v>
      </c>
      <c r="S533" s="344">
        <f>IF(ROUND(S531,1)=0,0,R533+S532/B518)</f>
        <v>0</v>
      </c>
      <c r="T533" s="344">
        <f>IF(ROUND(T531,1)=0,0,S533+T532/B518)</f>
        <v>0</v>
      </c>
      <c r="U533" s="344">
        <f>IF(ROUND(U531,1)=0,0,T533+U532/B518)</f>
        <v>0</v>
      </c>
      <c r="V533" s="344">
        <f>IF(ROUND(V531,1)=0,0,U533+V532/B518)</f>
        <v>0</v>
      </c>
      <c r="W533" s="344">
        <f>IF(ROUND(W531,1)=0,0,V533+W532/B518)</f>
        <v>0</v>
      </c>
      <c r="X533" s="344">
        <f>IF(ROUND(X531,1)=0,0,W533+X532/B518)</f>
        <v>0</v>
      </c>
      <c r="Y533" s="344">
        <f>IF(ROUND(Y531,1)=0,0,X533+Y532/B518)</f>
        <v>0</v>
      </c>
      <c r="Z533" s="344">
        <f>IF(ROUND(Z531,1)=0,0,Y533+Z532/B518)</f>
        <v>0</v>
      </c>
      <c r="AA533" s="344">
        <f>IF(ROUND(AA531,1)=0,0,Z533+AA532/B518)</f>
        <v>0</v>
      </c>
    </row>
    <row r="534" spans="1:27" ht="16.5" hidden="1" thickBot="1">
      <c r="A534" s="85" t="s">
        <v>28</v>
      </c>
      <c r="B534" s="91">
        <f>AVERAGE(SUM(B531:B532),(SUM(B531:B532)-B533))*B520</f>
        <v>0</v>
      </c>
      <c r="C534" s="91">
        <f>AVERAGE(SUM(C531:C532),(SUM(C531:C532)-C533))*B520</f>
        <v>0</v>
      </c>
      <c r="D534" s="91">
        <f>AVERAGE(SUM(D531:D532),(SUM(D531:D532)-D533))*B520</f>
        <v>0</v>
      </c>
      <c r="E534" s="91">
        <f>AVERAGE(SUM(E531:E532),(SUM(E531:E532)-E533))*B520</f>
        <v>0</v>
      </c>
      <c r="F534" s="91">
        <f>AVERAGE(SUM(F531:F532),(SUM(F531:F532)-F533))*B520</f>
        <v>0</v>
      </c>
      <c r="G534" s="91">
        <f>AVERAGE(SUM(G531:G532),(SUM(G531:G532)-G533))*B520</f>
        <v>0</v>
      </c>
      <c r="H534" s="91">
        <f>AVERAGE(SUM(H531:H532),(SUM(H531:H532)-H533))*B520</f>
        <v>0</v>
      </c>
      <c r="I534" s="91">
        <f>AVERAGE(SUM(I531:I532),(SUM(I531:I532)-I533))*B520</f>
        <v>0</v>
      </c>
      <c r="J534" s="91">
        <f>AVERAGE(SUM(J531:J532),(SUM(J531:J532)-J533))*B520</f>
        <v>0</v>
      </c>
      <c r="K534" s="91">
        <f>AVERAGE(SUM(K531:K532),(SUM(K531:K532)-K533))*B520</f>
        <v>0</v>
      </c>
      <c r="L534" s="91">
        <f>AVERAGE(SUM(L531:L532),(SUM(L531:L532)-L533))*B520</f>
        <v>0</v>
      </c>
      <c r="M534" s="91">
        <f>AVERAGE(SUM(M531:M532),(SUM(M531:M532)-M533))*B520</f>
        <v>0</v>
      </c>
      <c r="N534" s="91">
        <f>AVERAGE(SUM(N531:N532),(SUM(N531:N532)-N533))*B520</f>
        <v>0</v>
      </c>
      <c r="O534" s="91">
        <f>AVERAGE(SUM(O531:O532),(SUM(O531:O532)-O533))*B520</f>
        <v>0</v>
      </c>
      <c r="P534" s="91">
        <f>AVERAGE(SUM(P531:P532),(SUM(P531:P532)-P533))*B520</f>
        <v>0</v>
      </c>
      <c r="Q534" s="91">
        <f>AVERAGE(SUM(Q531:Q532),(SUM(Q531:Q532)-Q533))*B520</f>
        <v>0</v>
      </c>
      <c r="R534" s="345">
        <f>AVERAGE(SUM(R531:R532),(SUM(R531:R532)-R533))*B520</f>
        <v>0</v>
      </c>
      <c r="S534" s="345">
        <f>AVERAGE(SUM(S531:S532),(SUM(S531:S532)-S533))*B520</f>
        <v>0</v>
      </c>
      <c r="T534" s="345">
        <f>AVERAGE(SUM(T531:T532),(SUM(T531:T532)-T533))*B520</f>
        <v>0</v>
      </c>
      <c r="U534" s="345">
        <f>AVERAGE(SUM(U531:U532),(SUM(U531:U532)-U533))*B520</f>
        <v>0</v>
      </c>
      <c r="V534" s="345">
        <f>AVERAGE(SUM(V531:V532),(SUM(V531:V532)-V533))*B520</f>
        <v>0</v>
      </c>
      <c r="W534" s="345">
        <f>AVERAGE(SUM(W531:W532),(SUM(W531:W532)-W533))*B520</f>
        <v>0</v>
      </c>
      <c r="X534" s="345">
        <f>AVERAGE(SUM(X531:X532),(SUM(X531:X532)-X533))*B520</f>
        <v>0</v>
      </c>
      <c r="Y534" s="345">
        <f>AVERAGE(SUM(Y531:Y532),(SUM(Y531:Y532)-Y533))*B520</f>
        <v>0</v>
      </c>
      <c r="Z534" s="345">
        <f>AVERAGE(SUM(Z531:Z532),(SUM(Z531:Z532)-Z533))*B520</f>
        <v>0</v>
      </c>
      <c r="AA534" s="345">
        <f>AVERAGE(SUM(AA531:AA532),(SUM(AA531:AA532)-AA533))*B520</f>
        <v>0</v>
      </c>
    </row>
    <row r="535" spans="1:27" ht="16.5" hidden="1" thickBot="1">
      <c r="A535" s="92"/>
      <c r="B535" s="93"/>
      <c r="C535" s="93"/>
      <c r="D535" s="93"/>
      <c r="E535" s="93"/>
      <c r="F535" s="93"/>
      <c r="G535" s="93"/>
      <c r="H535" s="93"/>
      <c r="I535" s="93"/>
      <c r="J535" s="93"/>
      <c r="K535" s="93"/>
      <c r="L535" s="93"/>
      <c r="M535" s="93"/>
      <c r="N535" s="93"/>
      <c r="O535" s="93"/>
      <c r="P535" s="93"/>
      <c r="Q535" s="93"/>
      <c r="R535" s="93"/>
      <c r="S535" s="93"/>
      <c r="T535" s="93"/>
      <c r="U535" s="93"/>
      <c r="V535" s="93"/>
      <c r="W535" s="93"/>
      <c r="X535" s="93"/>
      <c r="Y535" s="93"/>
      <c r="Z535" s="93"/>
      <c r="AA535" s="93"/>
    </row>
    <row r="536" spans="1:27" ht="47.25" hidden="1">
      <c r="A536" s="88" t="s">
        <v>29</v>
      </c>
      <c r="B536" s="78" t="s">
        <v>553</v>
      </c>
      <c r="C536" s="79">
        <f>C530</f>
        <v>2017</v>
      </c>
      <c r="D536" s="80">
        <f t="shared" ref="D536" si="1605">C536+1</f>
        <v>2018</v>
      </c>
      <c r="E536" s="80">
        <f t="shared" ref="E536" si="1606">D536+1</f>
        <v>2019</v>
      </c>
      <c r="F536" s="80">
        <f t="shared" ref="F536" si="1607">E536+1</f>
        <v>2020</v>
      </c>
      <c r="G536" s="80">
        <f t="shared" ref="G536" si="1608">F536+1</f>
        <v>2021</v>
      </c>
      <c r="H536" s="80">
        <f t="shared" ref="H536" si="1609">G536+1</f>
        <v>2022</v>
      </c>
      <c r="I536" s="80">
        <f t="shared" ref="I536" si="1610">H536+1</f>
        <v>2023</v>
      </c>
      <c r="J536" s="80">
        <f t="shared" ref="J536" si="1611">I536+1</f>
        <v>2024</v>
      </c>
      <c r="K536" s="80">
        <f t="shared" ref="K536" si="1612">J536+1</f>
        <v>2025</v>
      </c>
      <c r="L536" s="80">
        <f t="shared" ref="L536" si="1613">K536+1</f>
        <v>2026</v>
      </c>
      <c r="M536" s="80">
        <f t="shared" ref="M536" si="1614">L536+1</f>
        <v>2027</v>
      </c>
      <c r="N536" s="80">
        <f t="shared" ref="N536" si="1615">M536+1</f>
        <v>2028</v>
      </c>
      <c r="O536" s="80">
        <f t="shared" ref="O536" si="1616">N536+1</f>
        <v>2029</v>
      </c>
      <c r="P536" s="80">
        <f t="shared" ref="P536" si="1617">O536+1</f>
        <v>2030</v>
      </c>
      <c r="Q536" s="80">
        <f t="shared" ref="Q536" si="1618">P536+1</f>
        <v>2031</v>
      </c>
      <c r="R536" s="80">
        <f t="shared" ref="R536" si="1619">Q536+1</f>
        <v>2032</v>
      </c>
      <c r="S536" s="80">
        <f t="shared" ref="S536" si="1620">R536+1</f>
        <v>2033</v>
      </c>
      <c r="T536" s="80">
        <f t="shared" ref="T536" si="1621">S536+1</f>
        <v>2034</v>
      </c>
      <c r="U536" s="80">
        <f t="shared" ref="U536" si="1622">T536+1</f>
        <v>2035</v>
      </c>
      <c r="V536" s="80">
        <f t="shared" ref="V536" si="1623">U536+1</f>
        <v>2036</v>
      </c>
      <c r="W536" s="80">
        <f t="shared" ref="W536" si="1624">V536+1</f>
        <v>2037</v>
      </c>
      <c r="X536" s="80">
        <f t="shared" ref="X536" si="1625">W536+1</f>
        <v>2038</v>
      </c>
      <c r="Y536" s="80">
        <f t="shared" ref="Y536" si="1626">X536+1</f>
        <v>2039</v>
      </c>
      <c r="Z536" s="80">
        <f t="shared" ref="Z536" si="1627">Y536+1</f>
        <v>2040</v>
      </c>
      <c r="AA536" s="80">
        <f t="shared" ref="AA536" si="1628">Z536+1</f>
        <v>2041</v>
      </c>
    </row>
    <row r="537" spans="1:27" hidden="1">
      <c r="A537" s="94" t="s">
        <v>30</v>
      </c>
      <c r="B537" s="95"/>
      <c r="C537" s="95">
        <f>C528*B506</f>
        <v>83084.745762711871</v>
      </c>
      <c r="D537" s="95">
        <f>D528*B506</f>
        <v>86740.474576271197</v>
      </c>
      <c r="E537" s="95">
        <f>E528*B506</f>
        <v>90557.055457627139</v>
      </c>
      <c r="F537" s="95">
        <f>F528*B506</f>
        <v>94541.565897762732</v>
      </c>
      <c r="G537" s="95">
        <f>G528*B506</f>
        <v>98701.394797264293</v>
      </c>
      <c r="H537" s="95">
        <f>H528*B506</f>
        <v>103044.25616834393</v>
      </c>
      <c r="I537" s="95">
        <f>I528*B506</f>
        <v>107578.20343975106</v>
      </c>
      <c r="J537" s="95">
        <f>J528*B506</f>
        <v>112311.64439110011</v>
      </c>
      <c r="K537" s="95">
        <f>K528*B506</f>
        <v>117253.35674430852</v>
      </c>
      <c r="L537" s="95">
        <f>L528*B506</f>
        <v>122412.5044410581</v>
      </c>
      <c r="M537" s="95">
        <f>M528*B506</f>
        <v>127798.65463646466</v>
      </c>
      <c r="N537" s="95">
        <f>N528*B506</f>
        <v>133421.79544046911</v>
      </c>
      <c r="O537" s="95">
        <f>O528*B506</f>
        <v>139292.35443984976</v>
      </c>
      <c r="P537" s="95">
        <f>P528*B506</f>
        <v>145421.21803520314</v>
      </c>
      <c r="Q537" s="95">
        <f>Q528*B506</f>
        <v>151819.7516287521</v>
      </c>
      <c r="R537" s="95">
        <f>R528*B506</f>
        <v>158499.82070041719</v>
      </c>
      <c r="S537" s="95">
        <f>S528*B506</f>
        <v>165473.81281123555</v>
      </c>
      <c r="T537" s="95">
        <f>T528*B506</f>
        <v>172754.66057492991</v>
      </c>
      <c r="U537" s="95">
        <f>U528*B506</f>
        <v>180355.86564022684</v>
      </c>
      <c r="V537" s="95">
        <f>V528*B506</f>
        <v>188291.52372839683</v>
      </c>
      <c r="W537" s="95">
        <f>W528*B506</f>
        <v>196576.35077244631</v>
      </c>
      <c r="X537" s="95">
        <f>X528*B506</f>
        <v>205225.71020643396</v>
      </c>
      <c r="Y537" s="95">
        <f>Y528*B506</f>
        <v>214255.64145551706</v>
      </c>
      <c r="Z537" s="95">
        <f>Z528*B506</f>
        <v>223682.88967955983</v>
      </c>
      <c r="AA537" s="95">
        <f>AA528*B506</f>
        <v>233524.93682546046</v>
      </c>
    </row>
    <row r="538" spans="1:27" hidden="1">
      <c r="A538" s="89" t="s">
        <v>31</v>
      </c>
      <c r="B538" s="96"/>
      <c r="C538" s="96">
        <f>SUM(C539:C544)</f>
        <v>-3190.5567213559325</v>
      </c>
      <c r="D538" s="96">
        <f t="shared" ref="D538:AA538" si="1629">SUM(D539:D544)</f>
        <v>-3330.9412170955943</v>
      </c>
      <c r="E538" s="96">
        <f t="shared" si="1629"/>
        <v>-3477.5026306478007</v>
      </c>
      <c r="F538" s="96">
        <f t="shared" si="1629"/>
        <v>-17327.687887639247</v>
      </c>
      <c r="G538" s="96">
        <f t="shared" si="1629"/>
        <v>-17015.114064299894</v>
      </c>
      <c r="H538" s="96">
        <f t="shared" si="1629"/>
        <v>-16709.568913637562</v>
      </c>
      <c r="I538" s="96">
        <f t="shared" si="1629"/>
        <v>-16411.361697250046</v>
      </c>
      <c r="J538" s="96">
        <f t="shared" si="1629"/>
        <v>-16120.815284245429</v>
      </c>
      <c r="K538" s="96">
        <f t="shared" si="1629"/>
        <v>-15838.266749972569</v>
      </c>
      <c r="L538" s="96">
        <f t="shared" si="1629"/>
        <v>-15564.068001095653</v>
      </c>
      <c r="M538" s="96">
        <f t="shared" si="1629"/>
        <v>-15298.58642817211</v>
      </c>
      <c r="N538" s="96">
        <f t="shared" si="1629"/>
        <v>-15042.205586943885</v>
      </c>
      <c r="O538" s="96">
        <f t="shared" si="1629"/>
        <v>-14795.325909605577</v>
      </c>
      <c r="P538" s="96">
        <f t="shared" si="1629"/>
        <v>-14558.365447368335</v>
      </c>
      <c r="Q538" s="96">
        <f t="shared" si="1629"/>
        <v>-14331.76064569661</v>
      </c>
      <c r="R538" s="96">
        <f t="shared" si="1629"/>
        <v>-14115.967153655281</v>
      </c>
      <c r="S538" s="96">
        <f t="shared" si="1629"/>
        <v>-13911.460668868092</v>
      </c>
      <c r="T538" s="96">
        <f t="shared" si="1629"/>
        <v>-13718.737819654223</v>
      </c>
      <c r="U538" s="96">
        <f t="shared" si="1629"/>
        <v>-14010.633470159686</v>
      </c>
      <c r="V538" s="96">
        <f t="shared" si="1629"/>
        <v>-14315.37252928739</v>
      </c>
      <c r="W538" s="96">
        <f t="shared" si="1629"/>
        <v>-14633.520107016713</v>
      </c>
      <c r="X538" s="96">
        <f t="shared" si="1629"/>
        <v>-14965.666178166128</v>
      </c>
      <c r="Y538" s="96">
        <f t="shared" si="1629"/>
        <v>-15312.426676446117</v>
      </c>
      <c r="Z538" s="96">
        <f t="shared" si="1629"/>
        <v>-15674.44463665042</v>
      </c>
      <c r="AA538" s="96">
        <f t="shared" si="1629"/>
        <v>-16052.391387103718</v>
      </c>
    </row>
    <row r="539" spans="1:27" hidden="1">
      <c r="A539" s="97" t="s">
        <v>32</v>
      </c>
      <c r="B539" s="96"/>
      <c r="C539" s="96">
        <f>-IF(C525&lt;=B508,0,B507*(1+C527)*B506)</f>
        <v>-2927.3094671186445</v>
      </c>
      <c r="D539" s="96">
        <f>-IF(D525&lt;=B508,0,B507*(1+D527)*B506)</f>
        <v>-3056.1110836718653</v>
      </c>
      <c r="E539" s="96">
        <f>-IF(E525&lt;=B508,0,B507*(1+E527)*B506)</f>
        <v>-3190.5799713534279</v>
      </c>
      <c r="F539" s="96">
        <f>-IF(F525&lt;=B508,0,B507*(1+F527)*B506)</f>
        <v>-3330.9654900929791</v>
      </c>
      <c r="G539" s="96">
        <f>-IF(G525&lt;=B508,0,B507*(1+G527)*B506)</f>
        <v>-3477.5279716570699</v>
      </c>
      <c r="H539" s="96">
        <f>-IF(H525&lt;=B508,0,B507*(1+H527)*B506)</f>
        <v>-3630.5392024099815</v>
      </c>
      <c r="I539" s="96">
        <f>-IF(I525&lt;=B508,0,B507*(1+I527)*B506)</f>
        <v>-3790.282927316021</v>
      </c>
      <c r="J539" s="96">
        <f>-IF(J525&lt;=B508,0,B507*(1+J527)*B506)</f>
        <v>-3957.0553761179262</v>
      </c>
      <c r="K539" s="96">
        <f>-IF(K525&lt;=B508,0,B507*(1+K527)*B506)</f>
        <v>-4131.1658126671146</v>
      </c>
      <c r="L539" s="96">
        <f>-IF(L525&lt;=B508,0,B507*(1+L527)*B506)</f>
        <v>-4312.9371084244676</v>
      </c>
      <c r="M539" s="96">
        <f>-IF(M525&lt;=B508,0,B507*(1+M527)*B506)</f>
        <v>-4502.706341195144</v>
      </c>
      <c r="N539" s="96">
        <f>-IF(N525&lt;=B508,0,B507*(1+N527)*B506)</f>
        <v>-4700.8254202077305</v>
      </c>
      <c r="O539" s="96">
        <f>-IF(O525&lt;=B508,0,B507*(1+O527)*B506)</f>
        <v>-4907.6617386968719</v>
      </c>
      <c r="P539" s="96">
        <f>-IF(P525&lt;=B508,0,B507*(1+P527)*B506)</f>
        <v>-5123.5988551995342</v>
      </c>
      <c r="Q539" s="96">
        <f>-IF(Q525&lt;=B508,0,B507*(1+Q527)*B506)</f>
        <v>-5349.0372048283134</v>
      </c>
      <c r="R539" s="96">
        <f>-IF(R525&lt;=B508,0,B507*(1+R527)*B506)</f>
        <v>-5584.394841840759</v>
      </c>
      <c r="S539" s="96">
        <f>-IF(S525&lt;=B508,0,B507*(1+S527)*B506)</f>
        <v>-5830.1082148817532</v>
      </c>
      <c r="T539" s="96">
        <f>-IF(T525&lt;=B508,0,B507*(1+T527)*B506)</f>
        <v>-6086.6329763365511</v>
      </c>
      <c r="U539" s="96">
        <f>-IF(U525&lt;=B508,0,B507*(1+U527)*B506)</f>
        <v>-6354.4448272953587</v>
      </c>
      <c r="V539" s="96">
        <f>-IF(V525&lt;=B508,0,B507*(1+V527)*B506)</f>
        <v>-6634.0403996963551</v>
      </c>
      <c r="W539" s="96">
        <f>-IF(W525&lt;=B508,0,B507*(1+W527)*B506)</f>
        <v>-6925.9381772829956</v>
      </c>
      <c r="X539" s="96">
        <f>-IF(X525&lt;=B508,0,B507*(1+X527)*B506)</f>
        <v>-7230.6794570834472</v>
      </c>
      <c r="Y539" s="96">
        <f>-IF(Y525&lt;=B508,0,B507*(1+Y527)*B506)</f>
        <v>-7548.8293531951194</v>
      </c>
      <c r="Z539" s="96">
        <f>-IF(Z525&lt;=B508,0,B507*(1+Z527)*B506)</f>
        <v>-7880.9778447357039</v>
      </c>
      <c r="AA539" s="96">
        <f>-IF(AA525&lt;=B508,0,B507*(1+AA527)*B506)</f>
        <v>-8227.7408699040752</v>
      </c>
    </row>
    <row r="540" spans="1:27" hidden="1">
      <c r="A540" s="97" t="str">
        <f>A510</f>
        <v>Прочие расходы при эксплуатации объекта, руб. без НДС</v>
      </c>
      <c r="B540" s="96"/>
      <c r="C540" s="96">
        <f>-IF(C525&lt;=B511,0,B510*(1+C527)*B506)</f>
        <v>-263.24725423728819</v>
      </c>
      <c r="D540" s="96">
        <f>-IF(D525&lt;=B511,0,B510*(1+D527)*B506)</f>
        <v>-274.83013342372891</v>
      </c>
      <c r="E540" s="96">
        <f>-IF(E525&lt;=B511,0,B510*(1+E527)*B506)</f>
        <v>-286.92265929437298</v>
      </c>
      <c r="F540" s="96">
        <f>-IF(F525&lt;=B511,0,B510*(1+F527)*B506)</f>
        <v>-299.54725630332547</v>
      </c>
      <c r="G540" s="96">
        <f>-IF(G525&lt;=B511,0,B510*(1+G527)*B506)</f>
        <v>-312.72733558067176</v>
      </c>
      <c r="H540" s="96">
        <f>-IF(H525&lt;=B511,0,B510*(1+H527)*B506)</f>
        <v>-326.48733834622135</v>
      </c>
      <c r="I540" s="96">
        <f>-IF(I525&lt;=B511,0,B510*(1+I527)*B506)</f>
        <v>-340.85278123345512</v>
      </c>
      <c r="J540" s="96">
        <f>-IF(J525&lt;=B511,0,B510*(1+J527)*B506)</f>
        <v>-355.85030360772714</v>
      </c>
      <c r="K540" s="96">
        <f>-IF(K525&lt;=B511,0,B510*(1+K527)*B506)</f>
        <v>-371.50771696646711</v>
      </c>
      <c r="L540" s="96">
        <f>-IF(L525&lt;=B511,0,B510*(1+L527)*B506)</f>
        <v>-387.85405651299169</v>
      </c>
      <c r="M540" s="96">
        <f>-IF(M525&lt;=B511,0,B510*(1+M527)*B506)</f>
        <v>-404.9196349995633</v>
      </c>
      <c r="N540" s="96">
        <f>-IF(N525&lt;=B511,0,B510*(1+N527)*B506)</f>
        <v>-422.73609893954415</v>
      </c>
      <c r="O540" s="96">
        <f>-IF(O525&lt;=B511,0,B510*(1+O527)*B506)</f>
        <v>-441.3364872928841</v>
      </c>
      <c r="P540" s="96">
        <f>-IF(P525&lt;=B511,0,B510*(1+P527)*B506)</f>
        <v>-460.755292733771</v>
      </c>
      <c r="Q540" s="96">
        <f>-IF(Q525&lt;=B511,0,B510*(1+Q527)*B506)</f>
        <v>-481.028525614057</v>
      </c>
      <c r="R540" s="96">
        <f>-IF(R525&lt;=B511,0,B510*(1+R527)*B506)</f>
        <v>-502.19378074107544</v>
      </c>
      <c r="S540" s="96">
        <f>-IF(S525&lt;=B511,0,B510*(1+S527)*B506)</f>
        <v>-524.29030709368283</v>
      </c>
      <c r="T540" s="96">
        <f>-IF(T525&lt;=B511,0,B510*(1+T527)*B506)</f>
        <v>-547.35908060580493</v>
      </c>
      <c r="U540" s="96">
        <f>-IF(U525&lt;=B511,0,B510*(1+U527)*B506)</f>
        <v>-571.44288015246025</v>
      </c>
      <c r="V540" s="96">
        <f>-IF(V525&lt;=B511,0,B510*(1+V527)*B506)</f>
        <v>-596.58636687916862</v>
      </c>
      <c r="W540" s="96">
        <f>-IF(W525&lt;=B511,0,B510*(1+W527)*B506)</f>
        <v>-622.83616702185213</v>
      </c>
      <c r="X540" s="96">
        <f>-IF(X525&lt;=B511,0,B510*(1+X527)*B506)</f>
        <v>-650.24095837081359</v>
      </c>
      <c r="Y540" s="96">
        <f>-IF(Y525&lt;=B511,0,B510*(1+Y527)*B506)</f>
        <v>-678.85156053912942</v>
      </c>
      <c r="Z540" s="96">
        <f>-IF(Z525&lt;=B511,0,B510*(1+Z527)*B506)</f>
        <v>-708.72102920285113</v>
      </c>
      <c r="AA540" s="96">
        <f>-IF(AA525&lt;=B511,0,B510*(1+AA527)*B506)</f>
        <v>-739.90475448777647</v>
      </c>
    </row>
    <row r="541" spans="1:27" hidden="1">
      <c r="A541" s="97" t="s">
        <v>290</v>
      </c>
      <c r="B541" s="96"/>
      <c r="C541" s="96"/>
      <c r="D541" s="96"/>
      <c r="E541" s="96"/>
      <c r="F541" s="96"/>
      <c r="G541" s="96"/>
      <c r="H541" s="96"/>
      <c r="I541" s="96"/>
      <c r="J541" s="96"/>
      <c r="K541" s="96"/>
      <c r="L541" s="96"/>
      <c r="M541" s="96"/>
      <c r="N541" s="96"/>
      <c r="O541" s="96"/>
      <c r="P541" s="96"/>
      <c r="Q541" s="96"/>
      <c r="R541" s="96"/>
      <c r="S541" s="96"/>
      <c r="T541" s="96"/>
      <c r="U541" s="96"/>
      <c r="V541" s="96"/>
      <c r="W541" s="96"/>
      <c r="X541" s="96"/>
      <c r="Y541" s="96"/>
      <c r="Z541" s="96"/>
      <c r="AA541" s="96"/>
    </row>
    <row r="542" spans="1:27" hidden="1">
      <c r="A542" s="97" t="s">
        <v>290</v>
      </c>
      <c r="B542" s="96"/>
      <c r="C542" s="96"/>
      <c r="D542" s="96"/>
      <c r="E542" s="96"/>
      <c r="F542" s="96"/>
      <c r="G542" s="96"/>
      <c r="H542" s="96"/>
      <c r="I542" s="96"/>
      <c r="J542" s="96"/>
      <c r="K542" s="96"/>
      <c r="L542" s="96"/>
      <c r="M542" s="96"/>
      <c r="N542" s="96"/>
      <c r="O542" s="96"/>
      <c r="P542" s="96"/>
      <c r="Q542" s="96"/>
      <c r="R542" s="96"/>
      <c r="S542" s="96"/>
      <c r="T542" s="96"/>
      <c r="U542" s="96"/>
      <c r="V542" s="96"/>
      <c r="W542" s="96"/>
      <c r="X542" s="96"/>
      <c r="Y542" s="96"/>
      <c r="Z542" s="96"/>
      <c r="AA542" s="96"/>
    </row>
    <row r="543" spans="1:27" hidden="1">
      <c r="A543" s="97" t="s">
        <v>290</v>
      </c>
      <c r="B543" s="96"/>
      <c r="C543" s="96"/>
      <c r="D543" s="96"/>
      <c r="E543" s="96"/>
      <c r="F543" s="96"/>
      <c r="G543" s="96"/>
      <c r="H543" s="96"/>
      <c r="I543" s="96"/>
      <c r="J543" s="96"/>
      <c r="K543" s="96"/>
      <c r="L543" s="96"/>
      <c r="M543" s="96"/>
      <c r="N543" s="96"/>
      <c r="O543" s="96"/>
      <c r="P543" s="96"/>
      <c r="Q543" s="96"/>
      <c r="R543" s="96"/>
      <c r="S543" s="96"/>
      <c r="T543" s="96"/>
      <c r="U543" s="96"/>
      <c r="V543" s="96"/>
      <c r="W543" s="96"/>
      <c r="X543" s="96"/>
      <c r="Y543" s="96"/>
      <c r="Z543" s="96"/>
      <c r="AA543" s="96"/>
    </row>
    <row r="544" spans="1:27" hidden="1">
      <c r="A544" s="97" t="s">
        <v>33</v>
      </c>
      <c r="B544" s="96"/>
      <c r="C544" s="96">
        <f>-((B503+B504)*B506+(B503+B504)*B506+SUM(B546:C546))/2*2.2%*0</f>
        <v>0</v>
      </c>
      <c r="D544" s="96">
        <f>-((B503+B504)*B506+(B503+B504)*B506+SUM(B546:D546))/2*2.2%*0</f>
        <v>0</v>
      </c>
      <c r="E544" s="96">
        <f>-((B503+B504)*B506+(B503+B504)*B506+SUM(B546:E546))/2*2.2%*0</f>
        <v>0</v>
      </c>
      <c r="F544" s="96">
        <f>-((B503+B504)*B506+(B503+B504)*B506+SUM(B546:F546))/2*2.2%</f>
        <v>-13697.175141242942</v>
      </c>
      <c r="G544" s="96">
        <f>-((B503+B504)*B506+(B503+B504)*B506+SUM(B546:G546))/2*2.2%</f>
        <v>-13224.858757062151</v>
      </c>
      <c r="H544" s="96">
        <f>-((B503+B504)*B506+(B503+B504)*B506+SUM(B546:H546))/2*2.2%</f>
        <v>-12752.542372881358</v>
      </c>
      <c r="I544" s="96">
        <f>-((B503+B504)*B506+(B503+B504)*B506+SUM(B546:I546))/2*2.2%</f>
        <v>-12280.225988700568</v>
      </c>
      <c r="J544" s="96">
        <f>-((B503+B504)*B506+(B503+B504)*B506+SUM(B546:J546))/2*2.2%</f>
        <v>-11807.909604519777</v>
      </c>
      <c r="K544" s="96">
        <f>-((B503+B504)*B506+(B503+B504)*B506+SUM(B546:K546))/2*2.2%</f>
        <v>-11335.593220338986</v>
      </c>
      <c r="L544" s="96">
        <f>-((B503+B504)*B506+(B503+B504)*B506+SUM(B546:L546))/2*2.2%</f>
        <v>-10863.276836158195</v>
      </c>
      <c r="M544" s="96">
        <f>-((B503+B504)*B506+(B503+B504)*B506+SUM(B546:M546))/2*2.2%</f>
        <v>-10390.960451977402</v>
      </c>
      <c r="N544" s="96">
        <f>-((B503+B504)*B506+(B503+B504)*B506+SUM(B546:N546))/2*2.2%</f>
        <v>-9918.6440677966111</v>
      </c>
      <c r="O544" s="96">
        <f>-((B503+B504)*B506+(B503+B504)*B506+SUM(B546:O546))/2*2.2%</f>
        <v>-9446.327683615822</v>
      </c>
      <c r="P544" s="96">
        <f>-((B503+B504)*B506+(B503+B504)*B506+SUM(B546:P546))/2*2.2%</f>
        <v>-8974.0112994350293</v>
      </c>
      <c r="Q544" s="96">
        <f>-((B503+B504)*B506+(B503+B504)*B506+SUM(B546:Q546))/2*2.2%</f>
        <v>-8501.6949152542384</v>
      </c>
      <c r="R544" s="96">
        <f>-((B503+B504)*B506+(B503+B504)*B506+SUM(B546:R546))/2*2.2%</f>
        <v>-8029.3785310734474</v>
      </c>
      <c r="S544" s="96">
        <f>-((B503+B504)*B506+(B503+B504)*B506+SUM(B546:S546))/2*2.2%</f>
        <v>-7557.0621468926565</v>
      </c>
      <c r="T544" s="96">
        <f>-((B503+B504)*B506+(B503+B504)*B506+SUM(B546:T546))/2*2.2%</f>
        <v>-7084.7457627118665</v>
      </c>
      <c r="U544" s="96">
        <f>-((B503+B504)*B506+(B503+B504)*B506+SUM(B546:U546))/2*2.2%</f>
        <v>-7084.7457627118665</v>
      </c>
      <c r="V544" s="96">
        <f>-((B503+B504)*B506+(B503+B504)*B506+SUM(B546:V546))/2*2.2%</f>
        <v>-7084.7457627118665</v>
      </c>
      <c r="W544" s="96">
        <f>-((B503+B504)*B506+(B503+B504)*B506+SUM(B546:W546))/2*2.2%</f>
        <v>-7084.7457627118665</v>
      </c>
      <c r="X544" s="96">
        <f>-((B503+B504)*B506+(B503+B504)*B506+SUM(B546:X546))/2*2.2%</f>
        <v>-7084.7457627118665</v>
      </c>
      <c r="Y544" s="96">
        <f>-((B503+B504)*B506+(B503+B504)*B506+SUM(B546:Y546))/2*2.2%</f>
        <v>-7084.7457627118665</v>
      </c>
      <c r="Z544" s="96">
        <f>-((B503+B504)*B506+(B503+B504)*B506+SUM(B546:Z546))/2*2.2%</f>
        <v>-7084.7457627118665</v>
      </c>
      <c r="AA544" s="96">
        <f>-((B503+B504)*B506+(B503+B504)*B506+SUM(B546:AA546))/2*2.2%</f>
        <v>-7084.7457627118665</v>
      </c>
    </row>
    <row r="545" spans="1:27" hidden="1">
      <c r="A545" s="98" t="s">
        <v>114</v>
      </c>
      <c r="B545" s="95"/>
      <c r="C545" s="95">
        <f t="shared" ref="C545:AA545" si="1630">C537+C538</f>
        <v>79894.189041355945</v>
      </c>
      <c r="D545" s="95">
        <f t="shared" si="1630"/>
        <v>83409.533359175606</v>
      </c>
      <c r="E545" s="95">
        <f t="shared" si="1630"/>
        <v>87079.552826979343</v>
      </c>
      <c r="F545" s="95">
        <f t="shared" si="1630"/>
        <v>77213.878010123488</v>
      </c>
      <c r="G545" s="95">
        <f t="shared" si="1630"/>
        <v>81686.280732964398</v>
      </c>
      <c r="H545" s="95">
        <f t="shared" si="1630"/>
        <v>86334.687254706369</v>
      </c>
      <c r="I545" s="95">
        <f t="shared" si="1630"/>
        <v>91166.841742501012</v>
      </c>
      <c r="J545" s="95">
        <f t="shared" si="1630"/>
        <v>96190.829106854682</v>
      </c>
      <c r="K545" s="95">
        <f t="shared" si="1630"/>
        <v>101415.08999433595</v>
      </c>
      <c r="L545" s="95">
        <f t="shared" si="1630"/>
        <v>106848.43643996245</v>
      </c>
      <c r="M545" s="95">
        <f t="shared" si="1630"/>
        <v>112500.06820829255</v>
      </c>
      <c r="N545" s="95">
        <f t="shared" si="1630"/>
        <v>118379.58985352522</v>
      </c>
      <c r="O545" s="95">
        <f t="shared" si="1630"/>
        <v>124497.02853024419</v>
      </c>
      <c r="P545" s="95">
        <f t="shared" si="1630"/>
        <v>130862.85258783482</v>
      </c>
      <c r="Q545" s="95">
        <f t="shared" si="1630"/>
        <v>137487.9909830555</v>
      </c>
      <c r="R545" s="95">
        <f t="shared" si="1630"/>
        <v>144383.85354676191</v>
      </c>
      <c r="S545" s="95">
        <f t="shared" si="1630"/>
        <v>151562.35214236745</v>
      </c>
      <c r="T545" s="95">
        <f t="shared" si="1630"/>
        <v>159035.92275527568</v>
      </c>
      <c r="U545" s="95">
        <f t="shared" si="1630"/>
        <v>166345.23217006715</v>
      </c>
      <c r="V545" s="95">
        <f t="shared" si="1630"/>
        <v>173976.15119910944</v>
      </c>
      <c r="W545" s="95">
        <f t="shared" si="1630"/>
        <v>181942.83066542959</v>
      </c>
      <c r="X545" s="95">
        <f t="shared" si="1630"/>
        <v>190260.04402826782</v>
      </c>
      <c r="Y545" s="95">
        <f t="shared" si="1630"/>
        <v>198943.21477907096</v>
      </c>
      <c r="Z545" s="95">
        <f t="shared" si="1630"/>
        <v>208008.44504290941</v>
      </c>
      <c r="AA545" s="95">
        <f t="shared" si="1630"/>
        <v>217472.54543835676</v>
      </c>
    </row>
    <row r="546" spans="1:27" hidden="1">
      <c r="A546" s="97" t="s">
        <v>278</v>
      </c>
      <c r="B546" s="96"/>
      <c r="C546" s="96">
        <v>0</v>
      </c>
      <c r="D546" s="96">
        <f>C546</f>
        <v>0</v>
      </c>
      <c r="E546" s="96">
        <f>D546</f>
        <v>0</v>
      </c>
      <c r="F546" s="96">
        <f>IF(B503-ABS(SUM(B546:E546))&gt;0,-B503/B505,0)</f>
        <v>-42937.853107344636</v>
      </c>
      <c r="G546" s="96">
        <f>IF(B503-ABS(SUM(B546:F546))&gt;0,-B503/B505,0)</f>
        <v>-42937.853107344636</v>
      </c>
      <c r="H546" s="96">
        <f>IF(B503-ABS(SUM(B546:G546))&gt;0,-B503/B505,0)</f>
        <v>-42937.853107344636</v>
      </c>
      <c r="I546" s="96">
        <f>IF(B503-ABS(SUM(B546:H546))&gt;0,-B503/B505,0)</f>
        <v>-42937.853107344636</v>
      </c>
      <c r="J546" s="96">
        <f>IF(B503-ABS(SUM(B546:I546))&gt;0,-B503/B505,0)</f>
        <v>-42937.853107344636</v>
      </c>
      <c r="K546" s="96">
        <f>IF(B503-ABS(SUM(B546:J546))&gt;0,-B503/B505,0)</f>
        <v>-42937.853107344636</v>
      </c>
      <c r="L546" s="96">
        <f>IF(B503-ABS(SUM(B546:K546))&gt;0,-B503/B505,0)</f>
        <v>-42937.853107344636</v>
      </c>
      <c r="M546" s="96">
        <f>IF(B503-ABS(SUM(B546:L546))&gt;0,-B503/B505,0)</f>
        <v>-42937.853107344636</v>
      </c>
      <c r="N546" s="96">
        <f>IF(B503-ABS(SUM(B546:M546))&gt;0,-B503/B505,0)</f>
        <v>-42937.853107344636</v>
      </c>
      <c r="O546" s="96">
        <f>IF(B503-ABS(SUM(B546:N546))&gt;0,-B503/B505,0)</f>
        <v>-42937.853107344636</v>
      </c>
      <c r="P546" s="96">
        <f>IF(B503-ABS(SUM(B546:O546))&gt;0,-B503/B505,0)</f>
        <v>-42937.853107344636</v>
      </c>
      <c r="Q546" s="96">
        <f>IF(B503-ABS(SUM(B546:P546))&gt;0,-B503/B505,0)</f>
        <v>-42937.853107344636</v>
      </c>
      <c r="R546" s="96">
        <f>IF(B503-ABS(SUM(B546:Q546))&gt;0,-B503/B505,0)</f>
        <v>-42937.853107344636</v>
      </c>
      <c r="S546" s="96">
        <f>IF(B503-ABS(SUM(B546:R546))&gt;0,-B503/B505,0)</f>
        <v>-42937.853107344636</v>
      </c>
      <c r="T546" s="96">
        <f>IF(B503-ABS(SUM(B546:S546))&gt;0,-B503/B505,0)</f>
        <v>-42937.853107344636</v>
      </c>
      <c r="U546" s="96">
        <f>IF(B503-ABS(SUM(B546:T546))&gt;0,-B503/B505,0)</f>
        <v>0</v>
      </c>
      <c r="V546" s="96">
        <f>IF(B503-ABS(SUM(B546:U546))&gt;0,-B503/B505,0)</f>
        <v>0</v>
      </c>
      <c r="W546" s="96">
        <f>IF(B503-ABS(SUM(B546:V546))&gt;0,-B503/B505,0)</f>
        <v>0</v>
      </c>
      <c r="X546" s="96">
        <f>IF(B503-ABS(SUM(B546:W546))&gt;0,-B503/B505,0)</f>
        <v>0</v>
      </c>
      <c r="Y546" s="96">
        <f>IF(B503-ABS(SUM(B546:X546))&gt;0,-B503/B505,0)</f>
        <v>0</v>
      </c>
      <c r="Z546" s="96">
        <f>IF(B503-ABS(SUM(B546:Y546))&gt;0,-B503/B505,0)</f>
        <v>0</v>
      </c>
      <c r="AA546" s="96">
        <f>IF(B503-ABS(SUM(B546:Z546))&gt;0,-B503/B505,0)</f>
        <v>0</v>
      </c>
    </row>
    <row r="547" spans="1:27" hidden="1">
      <c r="A547" s="98" t="s">
        <v>34</v>
      </c>
      <c r="B547" s="95"/>
      <c r="C547" s="95">
        <f t="shared" ref="C547:AA547" si="1631">C545+C546</f>
        <v>79894.189041355945</v>
      </c>
      <c r="D547" s="95">
        <f t="shared" si="1631"/>
        <v>83409.533359175606</v>
      </c>
      <c r="E547" s="95">
        <f t="shared" si="1631"/>
        <v>87079.552826979343</v>
      </c>
      <c r="F547" s="95">
        <f t="shared" si="1631"/>
        <v>34276.024902778852</v>
      </c>
      <c r="G547" s="95">
        <f t="shared" si="1631"/>
        <v>38748.427625619763</v>
      </c>
      <c r="H547" s="95">
        <f t="shared" si="1631"/>
        <v>43396.834147361733</v>
      </c>
      <c r="I547" s="95">
        <f t="shared" si="1631"/>
        <v>48228.988635156376</v>
      </c>
      <c r="J547" s="95">
        <f t="shared" si="1631"/>
        <v>53252.975999510047</v>
      </c>
      <c r="K547" s="95">
        <f t="shared" si="1631"/>
        <v>58477.236886991319</v>
      </c>
      <c r="L547" s="95">
        <f t="shared" si="1631"/>
        <v>63910.583332617811</v>
      </c>
      <c r="M547" s="95">
        <f t="shared" si="1631"/>
        <v>69562.215100947913</v>
      </c>
      <c r="N547" s="95">
        <f t="shared" si="1631"/>
        <v>75441.736746180584</v>
      </c>
      <c r="O547" s="95">
        <f t="shared" si="1631"/>
        <v>81559.175422899556</v>
      </c>
      <c r="P547" s="95">
        <f t="shared" si="1631"/>
        <v>87924.99948049018</v>
      </c>
      <c r="Q547" s="95">
        <f t="shared" si="1631"/>
        <v>94550.137875710861</v>
      </c>
      <c r="R547" s="95">
        <f t="shared" si="1631"/>
        <v>101446.00043941727</v>
      </c>
      <c r="S547" s="95">
        <f t="shared" si="1631"/>
        <v>108624.49903502282</v>
      </c>
      <c r="T547" s="95">
        <f t="shared" si="1631"/>
        <v>116098.06964793104</v>
      </c>
      <c r="U547" s="95">
        <f t="shared" si="1631"/>
        <v>166345.23217006715</v>
      </c>
      <c r="V547" s="95">
        <f t="shared" si="1631"/>
        <v>173976.15119910944</v>
      </c>
      <c r="W547" s="95">
        <f t="shared" si="1631"/>
        <v>181942.83066542959</v>
      </c>
      <c r="X547" s="95">
        <f t="shared" si="1631"/>
        <v>190260.04402826782</v>
      </c>
      <c r="Y547" s="95">
        <f t="shared" si="1631"/>
        <v>198943.21477907096</v>
      </c>
      <c r="Z547" s="95">
        <f t="shared" si="1631"/>
        <v>208008.44504290941</v>
      </c>
      <c r="AA547" s="95">
        <f t="shared" si="1631"/>
        <v>217472.54543835676</v>
      </c>
    </row>
    <row r="548" spans="1:27" hidden="1">
      <c r="A548" s="97" t="s">
        <v>62</v>
      </c>
      <c r="B548" s="96">
        <f t="shared" ref="B548:AA548" si="1632">-B534</f>
        <v>0</v>
      </c>
      <c r="C548" s="96">
        <f t="shared" si="1632"/>
        <v>0</v>
      </c>
      <c r="D548" s="96">
        <f t="shared" si="1632"/>
        <v>0</v>
      </c>
      <c r="E548" s="96">
        <f t="shared" si="1632"/>
        <v>0</v>
      </c>
      <c r="F548" s="96">
        <f t="shared" si="1632"/>
        <v>0</v>
      </c>
      <c r="G548" s="96">
        <f t="shared" si="1632"/>
        <v>0</v>
      </c>
      <c r="H548" s="96">
        <f t="shared" si="1632"/>
        <v>0</v>
      </c>
      <c r="I548" s="96">
        <f t="shared" si="1632"/>
        <v>0</v>
      </c>
      <c r="J548" s="96">
        <f t="shared" si="1632"/>
        <v>0</v>
      </c>
      <c r="K548" s="96">
        <f t="shared" si="1632"/>
        <v>0</v>
      </c>
      <c r="L548" s="96">
        <f t="shared" si="1632"/>
        <v>0</v>
      </c>
      <c r="M548" s="96">
        <f t="shared" si="1632"/>
        <v>0</v>
      </c>
      <c r="N548" s="96">
        <f t="shared" si="1632"/>
        <v>0</v>
      </c>
      <c r="O548" s="96">
        <f t="shared" si="1632"/>
        <v>0</v>
      </c>
      <c r="P548" s="96">
        <f t="shared" si="1632"/>
        <v>0</v>
      </c>
      <c r="Q548" s="96">
        <f t="shared" si="1632"/>
        <v>0</v>
      </c>
      <c r="R548" s="96">
        <f t="shared" si="1632"/>
        <v>0</v>
      </c>
      <c r="S548" s="96">
        <f t="shared" si="1632"/>
        <v>0</v>
      </c>
      <c r="T548" s="96">
        <f t="shared" si="1632"/>
        <v>0</v>
      </c>
      <c r="U548" s="96">
        <f t="shared" si="1632"/>
        <v>0</v>
      </c>
      <c r="V548" s="96">
        <f t="shared" si="1632"/>
        <v>0</v>
      </c>
      <c r="W548" s="96">
        <f t="shared" si="1632"/>
        <v>0</v>
      </c>
      <c r="X548" s="96">
        <f t="shared" si="1632"/>
        <v>0</v>
      </c>
      <c r="Y548" s="96">
        <f t="shared" si="1632"/>
        <v>0</v>
      </c>
      <c r="Z548" s="96">
        <f t="shared" si="1632"/>
        <v>0</v>
      </c>
      <c r="AA548" s="96">
        <f t="shared" si="1632"/>
        <v>0</v>
      </c>
    </row>
    <row r="549" spans="1:27" hidden="1">
      <c r="A549" s="98" t="s">
        <v>35</v>
      </c>
      <c r="B549" s="95"/>
      <c r="C549" s="95">
        <f t="shared" ref="C549:AA549" si="1633">C547+C548</f>
        <v>79894.189041355945</v>
      </c>
      <c r="D549" s="95">
        <f t="shared" si="1633"/>
        <v>83409.533359175606</v>
      </c>
      <c r="E549" s="95">
        <f t="shared" si="1633"/>
        <v>87079.552826979343</v>
      </c>
      <c r="F549" s="95">
        <f t="shared" si="1633"/>
        <v>34276.024902778852</v>
      </c>
      <c r="G549" s="95">
        <f t="shared" si="1633"/>
        <v>38748.427625619763</v>
      </c>
      <c r="H549" s="95">
        <f t="shared" si="1633"/>
        <v>43396.834147361733</v>
      </c>
      <c r="I549" s="95">
        <f t="shared" si="1633"/>
        <v>48228.988635156376</v>
      </c>
      <c r="J549" s="95">
        <f t="shared" si="1633"/>
        <v>53252.975999510047</v>
      </c>
      <c r="K549" s="95">
        <f t="shared" si="1633"/>
        <v>58477.236886991319</v>
      </c>
      <c r="L549" s="95">
        <f t="shared" si="1633"/>
        <v>63910.583332617811</v>
      </c>
      <c r="M549" s="95">
        <f t="shared" si="1633"/>
        <v>69562.215100947913</v>
      </c>
      <c r="N549" s="95">
        <f t="shared" si="1633"/>
        <v>75441.736746180584</v>
      </c>
      <c r="O549" s="95">
        <f t="shared" si="1633"/>
        <v>81559.175422899556</v>
      </c>
      <c r="P549" s="95">
        <f t="shared" si="1633"/>
        <v>87924.99948049018</v>
      </c>
      <c r="Q549" s="95">
        <f t="shared" si="1633"/>
        <v>94550.137875710861</v>
      </c>
      <c r="R549" s="95">
        <f t="shared" si="1633"/>
        <v>101446.00043941727</v>
      </c>
      <c r="S549" s="95">
        <f t="shared" si="1633"/>
        <v>108624.49903502282</v>
      </c>
      <c r="T549" s="95">
        <f t="shared" si="1633"/>
        <v>116098.06964793104</v>
      </c>
      <c r="U549" s="95">
        <f t="shared" si="1633"/>
        <v>166345.23217006715</v>
      </c>
      <c r="V549" s="95">
        <f t="shared" si="1633"/>
        <v>173976.15119910944</v>
      </c>
      <c r="W549" s="95">
        <f t="shared" si="1633"/>
        <v>181942.83066542959</v>
      </c>
      <c r="X549" s="95">
        <f t="shared" si="1633"/>
        <v>190260.04402826782</v>
      </c>
      <c r="Y549" s="95">
        <f t="shared" si="1633"/>
        <v>198943.21477907096</v>
      </c>
      <c r="Z549" s="95">
        <f t="shared" si="1633"/>
        <v>208008.44504290941</v>
      </c>
      <c r="AA549" s="95">
        <f t="shared" si="1633"/>
        <v>217472.54543835676</v>
      </c>
    </row>
    <row r="550" spans="1:27" hidden="1">
      <c r="A550" s="97" t="s">
        <v>100</v>
      </c>
      <c r="B550" s="96"/>
      <c r="C550" s="96">
        <f>-C549*B514</f>
        <v>-15978.83780827119</v>
      </c>
      <c r="D550" s="96">
        <f>-D549*B514</f>
        <v>-16681.906671835121</v>
      </c>
      <c r="E550" s="96">
        <f>-E549*B514</f>
        <v>-17415.910565395869</v>
      </c>
      <c r="F550" s="96">
        <f>-F549*B514</f>
        <v>-6855.2049805557708</v>
      </c>
      <c r="G550" s="96">
        <f>-G549*B514</f>
        <v>-7749.6855251239531</v>
      </c>
      <c r="H550" s="96">
        <f>-H549*B514</f>
        <v>-8679.3668294723466</v>
      </c>
      <c r="I550" s="96">
        <f>-I549*B514</f>
        <v>-9645.7977270312749</v>
      </c>
      <c r="J550" s="96">
        <f>-J549*B514</f>
        <v>-10650.595199902011</v>
      </c>
      <c r="K550" s="96">
        <f>-K549*B514</f>
        <v>-11695.447377398265</v>
      </c>
      <c r="L550" s="96">
        <f>-L549*B514</f>
        <v>-12782.116666523563</v>
      </c>
      <c r="M550" s="96">
        <f>-M549*B514</f>
        <v>-13912.443020189583</v>
      </c>
      <c r="N550" s="96">
        <f>-N549*B514</f>
        <v>-15088.347349236117</v>
      </c>
      <c r="O550" s="96">
        <f>-O549*B514</f>
        <v>-16311.835084579912</v>
      </c>
      <c r="P550" s="96">
        <f>-P549*B514</f>
        <v>-17584.999896098037</v>
      </c>
      <c r="Q550" s="96">
        <f>-Q549*B514</f>
        <v>-18910.027575142172</v>
      </c>
      <c r="R550" s="96">
        <f>-R549*B514</f>
        <v>-20289.200087883455</v>
      </c>
      <c r="S550" s="96">
        <f>-S549*B514</f>
        <v>-21724.899807004564</v>
      </c>
      <c r="T550" s="96">
        <f>-T549*B514</f>
        <v>-23219.613929586209</v>
      </c>
      <c r="U550" s="96">
        <f>-U549*B514</f>
        <v>-33269.046434013428</v>
      </c>
      <c r="V550" s="96">
        <f>-V549*B514</f>
        <v>-34795.230239821889</v>
      </c>
      <c r="W550" s="96">
        <f>-W549*B514</f>
        <v>-36388.566133085922</v>
      </c>
      <c r="X550" s="96">
        <f>-X549*B514</f>
        <v>-38052.008805653568</v>
      </c>
      <c r="Y550" s="96">
        <f>-Y549*B514</f>
        <v>-39788.642955814197</v>
      </c>
      <c r="Z550" s="96">
        <f>-Z549*B514</f>
        <v>-41601.689008581889</v>
      </c>
      <c r="AA550" s="96">
        <f>-AA549*B514</f>
        <v>-43494.509087671351</v>
      </c>
    </row>
    <row r="551" spans="1:27" ht="16.5" hidden="1" thickBot="1">
      <c r="A551" s="99" t="s">
        <v>36</v>
      </c>
      <c r="B551" s="100"/>
      <c r="C551" s="100">
        <f t="shared" ref="C551:AA551" si="1634">C549+C550</f>
        <v>63915.351233084759</v>
      </c>
      <c r="D551" s="100">
        <f t="shared" si="1634"/>
        <v>66727.626687340482</v>
      </c>
      <c r="E551" s="100">
        <f t="shared" si="1634"/>
        <v>69663.642261583474</v>
      </c>
      <c r="F551" s="100">
        <f t="shared" si="1634"/>
        <v>27420.819922223083</v>
      </c>
      <c r="G551" s="100">
        <f t="shared" si="1634"/>
        <v>30998.742100495809</v>
      </c>
      <c r="H551" s="100">
        <f t="shared" si="1634"/>
        <v>34717.467317889386</v>
      </c>
      <c r="I551" s="100">
        <f t="shared" si="1634"/>
        <v>38583.1909081251</v>
      </c>
      <c r="J551" s="100">
        <f t="shared" si="1634"/>
        <v>42602.380799608036</v>
      </c>
      <c r="K551" s="100">
        <f t="shared" si="1634"/>
        <v>46781.789509593058</v>
      </c>
      <c r="L551" s="100">
        <f t="shared" si="1634"/>
        <v>51128.466666094246</v>
      </c>
      <c r="M551" s="100">
        <f t="shared" si="1634"/>
        <v>55649.772080758332</v>
      </c>
      <c r="N551" s="100">
        <f t="shared" si="1634"/>
        <v>60353.389396944469</v>
      </c>
      <c r="O551" s="100">
        <f t="shared" si="1634"/>
        <v>65247.340338319642</v>
      </c>
      <c r="P551" s="100">
        <f t="shared" si="1634"/>
        <v>70339.99958439215</v>
      </c>
      <c r="Q551" s="100">
        <f t="shared" si="1634"/>
        <v>75640.110300568689</v>
      </c>
      <c r="R551" s="100">
        <f t="shared" si="1634"/>
        <v>81156.800351533821</v>
      </c>
      <c r="S551" s="100">
        <f t="shared" si="1634"/>
        <v>86899.599228018255</v>
      </c>
      <c r="T551" s="100">
        <f t="shared" si="1634"/>
        <v>92878.455718344834</v>
      </c>
      <c r="U551" s="100">
        <f t="shared" si="1634"/>
        <v>133076.18573605371</v>
      </c>
      <c r="V551" s="100">
        <f t="shared" si="1634"/>
        <v>139180.92095928756</v>
      </c>
      <c r="W551" s="100">
        <f t="shared" si="1634"/>
        <v>145554.26453234366</v>
      </c>
      <c r="X551" s="100">
        <f t="shared" si="1634"/>
        <v>152208.03522261424</v>
      </c>
      <c r="Y551" s="100">
        <f t="shared" si="1634"/>
        <v>159154.57182325676</v>
      </c>
      <c r="Z551" s="100">
        <f t="shared" si="1634"/>
        <v>166406.75603432753</v>
      </c>
      <c r="AA551" s="100">
        <f t="shared" si="1634"/>
        <v>173978.0363506854</v>
      </c>
    </row>
    <row r="552" spans="1:27" s="487" customFormat="1" ht="16.5" hidden="1" thickBot="1">
      <c r="A552" s="485"/>
      <c r="B552" s="486"/>
      <c r="C552" s="486">
        <v>1</v>
      </c>
      <c r="D552" s="486">
        <f t="shared" ref="D552" si="1635">+C552+1</f>
        <v>2</v>
      </c>
      <c r="E552" s="486">
        <f t="shared" ref="E552" si="1636">+D552+1</f>
        <v>3</v>
      </c>
      <c r="F552" s="486">
        <f t="shared" ref="F552" si="1637">+E552+1</f>
        <v>4</v>
      </c>
      <c r="G552" s="486">
        <f t="shared" ref="G552" si="1638">+F552+1</f>
        <v>5</v>
      </c>
      <c r="H552" s="486">
        <f t="shared" ref="H552" si="1639">+G552+1</f>
        <v>6</v>
      </c>
      <c r="I552" s="486">
        <f t="shared" ref="I552" si="1640">+H552+1</f>
        <v>7</v>
      </c>
      <c r="J552" s="486">
        <f t="shared" ref="J552" si="1641">+I552+1</f>
        <v>8</v>
      </c>
      <c r="K552" s="486">
        <f t="shared" ref="K552" si="1642">+J552+1</f>
        <v>9</v>
      </c>
      <c r="L552" s="486">
        <f t="shared" ref="L552" si="1643">+K552+1</f>
        <v>10</v>
      </c>
      <c r="M552" s="486">
        <f t="shared" ref="M552" si="1644">+L552+1</f>
        <v>11</v>
      </c>
      <c r="N552" s="486">
        <f t="shared" ref="N552" si="1645">+M552+1</f>
        <v>12</v>
      </c>
      <c r="O552" s="486">
        <f>+N552+1</f>
        <v>13</v>
      </c>
      <c r="P552" s="486">
        <f>+O552+1</f>
        <v>14</v>
      </c>
      <c r="Q552" s="486">
        <f>+P552+1</f>
        <v>15</v>
      </c>
      <c r="R552" s="486">
        <f t="shared" ref="R552" si="1646">+Q552+1</f>
        <v>16</v>
      </c>
      <c r="S552" s="486">
        <f t="shared" ref="S552" si="1647">+R552+1</f>
        <v>17</v>
      </c>
      <c r="T552" s="486">
        <f t="shared" ref="T552" si="1648">+S552+1</f>
        <v>18</v>
      </c>
      <c r="U552" s="486">
        <f t="shared" ref="U552" si="1649">+T552+1</f>
        <v>19</v>
      </c>
      <c r="V552" s="486">
        <f t="shared" ref="V552" si="1650">+U552+1</f>
        <v>20</v>
      </c>
      <c r="W552" s="486">
        <f t="shared" ref="W552" si="1651">+V552+1</f>
        <v>21</v>
      </c>
      <c r="X552" s="486">
        <f t="shared" ref="X552" si="1652">+W552+1</f>
        <v>22</v>
      </c>
      <c r="Y552" s="486">
        <f t="shared" ref="Y552" si="1653">+X552+1</f>
        <v>23</v>
      </c>
      <c r="Z552" s="486">
        <f t="shared" ref="Z552" si="1654">+Y552+1</f>
        <v>24</v>
      </c>
      <c r="AA552" s="486">
        <f t="shared" ref="AA552" si="1655">+Z552+1</f>
        <v>25</v>
      </c>
    </row>
    <row r="553" spans="1:27" ht="47.25" hidden="1">
      <c r="A553" s="88" t="s">
        <v>37</v>
      </c>
      <c r="B553" s="78" t="str">
        <f>B536</f>
        <v>год окончания 
строительства объекта 2016</v>
      </c>
      <c r="C553" s="79">
        <f>C536</f>
        <v>2017</v>
      </c>
      <c r="D553" s="80">
        <f t="shared" ref="D553" si="1656">C553+1</f>
        <v>2018</v>
      </c>
      <c r="E553" s="80">
        <f t="shared" ref="E553" si="1657">D553+1</f>
        <v>2019</v>
      </c>
      <c r="F553" s="80">
        <f t="shared" ref="F553" si="1658">E553+1</f>
        <v>2020</v>
      </c>
      <c r="G553" s="80">
        <f t="shared" ref="G553" si="1659">F553+1</f>
        <v>2021</v>
      </c>
      <c r="H553" s="80">
        <f t="shared" ref="H553" si="1660">G553+1</f>
        <v>2022</v>
      </c>
      <c r="I553" s="80">
        <f t="shared" ref="I553" si="1661">H553+1</f>
        <v>2023</v>
      </c>
      <c r="J553" s="80">
        <f t="shared" ref="J553" si="1662">I553+1</f>
        <v>2024</v>
      </c>
      <c r="K553" s="80">
        <f t="shared" ref="K553" si="1663">J553+1</f>
        <v>2025</v>
      </c>
      <c r="L553" s="80">
        <f t="shared" ref="L553" si="1664">K553+1</f>
        <v>2026</v>
      </c>
      <c r="M553" s="80">
        <f t="shared" ref="M553" si="1665">L553+1</f>
        <v>2027</v>
      </c>
      <c r="N553" s="80">
        <f t="shared" ref="N553" si="1666">M553+1</f>
        <v>2028</v>
      </c>
      <c r="O553" s="80">
        <f t="shared" ref="O553" si="1667">N553+1</f>
        <v>2029</v>
      </c>
      <c r="P553" s="80">
        <f t="shared" ref="P553" si="1668">O553+1</f>
        <v>2030</v>
      </c>
      <c r="Q553" s="80">
        <f t="shared" ref="Q553" si="1669">P553+1</f>
        <v>2031</v>
      </c>
      <c r="R553" s="80">
        <f t="shared" ref="R553" si="1670">Q553+1</f>
        <v>2032</v>
      </c>
      <c r="S553" s="80">
        <f t="shared" ref="S553" si="1671">R553+1</f>
        <v>2033</v>
      </c>
      <c r="T553" s="80">
        <f t="shared" ref="T553" si="1672">S553+1</f>
        <v>2034</v>
      </c>
      <c r="U553" s="80">
        <f t="shared" ref="U553" si="1673">T553+1</f>
        <v>2035</v>
      </c>
      <c r="V553" s="80">
        <f t="shared" ref="V553" si="1674">U553+1</f>
        <v>2036</v>
      </c>
      <c r="W553" s="80">
        <f t="shared" ref="W553" si="1675">V553+1</f>
        <v>2037</v>
      </c>
      <c r="X553" s="80">
        <f t="shared" ref="X553" si="1676">W553+1</f>
        <v>2038</v>
      </c>
      <c r="Y553" s="80">
        <f t="shared" ref="Y553" si="1677">X553+1</f>
        <v>2039</v>
      </c>
      <c r="Z553" s="80">
        <f t="shared" ref="Z553" si="1678">Y553+1</f>
        <v>2040</v>
      </c>
      <c r="AA553" s="80">
        <f t="shared" ref="AA553" si="1679">Z553+1</f>
        <v>2041</v>
      </c>
    </row>
    <row r="554" spans="1:27" hidden="1">
      <c r="A554" s="94" t="s">
        <v>34</v>
      </c>
      <c r="B554" s="95">
        <f t="shared" ref="B554" si="1680">B547</f>
        <v>0</v>
      </c>
      <c r="C554" s="95">
        <f>C547</f>
        <v>79894.189041355945</v>
      </c>
      <c r="D554" s="95">
        <f t="shared" ref="D554:AA554" si="1681">D547</f>
        <v>83409.533359175606</v>
      </c>
      <c r="E554" s="95">
        <f t="shared" si="1681"/>
        <v>87079.552826979343</v>
      </c>
      <c r="F554" s="95">
        <f t="shared" si="1681"/>
        <v>34276.024902778852</v>
      </c>
      <c r="G554" s="95">
        <f t="shared" si="1681"/>
        <v>38748.427625619763</v>
      </c>
      <c r="H554" s="95">
        <f t="shared" si="1681"/>
        <v>43396.834147361733</v>
      </c>
      <c r="I554" s="95">
        <f t="shared" si="1681"/>
        <v>48228.988635156376</v>
      </c>
      <c r="J554" s="95">
        <f t="shared" si="1681"/>
        <v>53252.975999510047</v>
      </c>
      <c r="K554" s="95">
        <f t="shared" si="1681"/>
        <v>58477.236886991319</v>
      </c>
      <c r="L554" s="95">
        <f t="shared" si="1681"/>
        <v>63910.583332617811</v>
      </c>
      <c r="M554" s="95">
        <f t="shared" si="1681"/>
        <v>69562.215100947913</v>
      </c>
      <c r="N554" s="95">
        <f t="shared" si="1681"/>
        <v>75441.736746180584</v>
      </c>
      <c r="O554" s="95">
        <f t="shared" si="1681"/>
        <v>81559.175422899556</v>
      </c>
      <c r="P554" s="95">
        <f t="shared" si="1681"/>
        <v>87924.99948049018</v>
      </c>
      <c r="Q554" s="95">
        <f t="shared" si="1681"/>
        <v>94550.137875710861</v>
      </c>
      <c r="R554" s="95">
        <f t="shared" si="1681"/>
        <v>101446.00043941727</v>
      </c>
      <c r="S554" s="95">
        <f t="shared" si="1681"/>
        <v>108624.49903502282</v>
      </c>
      <c r="T554" s="95">
        <f t="shared" si="1681"/>
        <v>116098.06964793104</v>
      </c>
      <c r="U554" s="95">
        <f t="shared" si="1681"/>
        <v>166345.23217006715</v>
      </c>
      <c r="V554" s="95">
        <f t="shared" si="1681"/>
        <v>173976.15119910944</v>
      </c>
      <c r="W554" s="95">
        <f t="shared" si="1681"/>
        <v>181942.83066542959</v>
      </c>
      <c r="X554" s="95">
        <f t="shared" si="1681"/>
        <v>190260.04402826782</v>
      </c>
      <c r="Y554" s="95">
        <f t="shared" si="1681"/>
        <v>198943.21477907096</v>
      </c>
      <c r="Z554" s="95">
        <f t="shared" si="1681"/>
        <v>208008.44504290941</v>
      </c>
      <c r="AA554" s="95">
        <f t="shared" si="1681"/>
        <v>217472.54543835676</v>
      </c>
    </row>
    <row r="555" spans="1:27" hidden="1">
      <c r="A555" s="97" t="s">
        <v>278</v>
      </c>
      <c r="B555" s="96">
        <f t="shared" ref="B555" si="1682">-B546</f>
        <v>0</v>
      </c>
      <c r="C555" s="96">
        <f>-C546</f>
        <v>0</v>
      </c>
      <c r="D555" s="96">
        <f t="shared" ref="D555:AA555" si="1683">-D546</f>
        <v>0</v>
      </c>
      <c r="E555" s="96">
        <f t="shared" si="1683"/>
        <v>0</v>
      </c>
      <c r="F555" s="96">
        <f t="shared" si="1683"/>
        <v>42937.853107344636</v>
      </c>
      <c r="G555" s="96">
        <f t="shared" si="1683"/>
        <v>42937.853107344636</v>
      </c>
      <c r="H555" s="96">
        <f t="shared" si="1683"/>
        <v>42937.853107344636</v>
      </c>
      <c r="I555" s="96">
        <f t="shared" si="1683"/>
        <v>42937.853107344636</v>
      </c>
      <c r="J555" s="96">
        <f t="shared" si="1683"/>
        <v>42937.853107344636</v>
      </c>
      <c r="K555" s="96">
        <f t="shared" si="1683"/>
        <v>42937.853107344636</v>
      </c>
      <c r="L555" s="96">
        <f t="shared" si="1683"/>
        <v>42937.853107344636</v>
      </c>
      <c r="M555" s="96">
        <f t="shared" si="1683"/>
        <v>42937.853107344636</v>
      </c>
      <c r="N555" s="96">
        <f t="shared" si="1683"/>
        <v>42937.853107344636</v>
      </c>
      <c r="O555" s="96">
        <f t="shared" si="1683"/>
        <v>42937.853107344636</v>
      </c>
      <c r="P555" s="96">
        <f t="shared" si="1683"/>
        <v>42937.853107344636</v>
      </c>
      <c r="Q555" s="96">
        <f t="shared" si="1683"/>
        <v>42937.853107344636</v>
      </c>
      <c r="R555" s="96">
        <f t="shared" si="1683"/>
        <v>42937.853107344636</v>
      </c>
      <c r="S555" s="96">
        <f t="shared" si="1683"/>
        <v>42937.853107344636</v>
      </c>
      <c r="T555" s="96">
        <f t="shared" si="1683"/>
        <v>42937.853107344636</v>
      </c>
      <c r="U555" s="96">
        <f t="shared" si="1683"/>
        <v>0</v>
      </c>
      <c r="V555" s="96">
        <f t="shared" si="1683"/>
        <v>0</v>
      </c>
      <c r="W555" s="96">
        <f t="shared" si="1683"/>
        <v>0</v>
      </c>
      <c r="X555" s="96">
        <f t="shared" si="1683"/>
        <v>0</v>
      </c>
      <c r="Y555" s="96">
        <f t="shared" si="1683"/>
        <v>0</v>
      </c>
      <c r="Z555" s="96">
        <f t="shared" si="1683"/>
        <v>0</v>
      </c>
      <c r="AA555" s="96">
        <f t="shared" si="1683"/>
        <v>0</v>
      </c>
    </row>
    <row r="556" spans="1:27" hidden="1">
      <c r="A556" s="97" t="s">
        <v>62</v>
      </c>
      <c r="B556" s="96">
        <f t="shared" ref="B556:AA556" si="1684">B548</f>
        <v>0</v>
      </c>
      <c r="C556" s="96">
        <f t="shared" si="1684"/>
        <v>0</v>
      </c>
      <c r="D556" s="96">
        <f t="shared" si="1684"/>
        <v>0</v>
      </c>
      <c r="E556" s="96">
        <f t="shared" si="1684"/>
        <v>0</v>
      </c>
      <c r="F556" s="96">
        <f t="shared" si="1684"/>
        <v>0</v>
      </c>
      <c r="G556" s="96">
        <f t="shared" si="1684"/>
        <v>0</v>
      </c>
      <c r="H556" s="96">
        <f t="shared" si="1684"/>
        <v>0</v>
      </c>
      <c r="I556" s="96">
        <f t="shared" si="1684"/>
        <v>0</v>
      </c>
      <c r="J556" s="96">
        <f t="shared" si="1684"/>
        <v>0</v>
      </c>
      <c r="K556" s="96">
        <f t="shared" si="1684"/>
        <v>0</v>
      </c>
      <c r="L556" s="96">
        <f t="shared" si="1684"/>
        <v>0</v>
      </c>
      <c r="M556" s="96">
        <f t="shared" si="1684"/>
        <v>0</v>
      </c>
      <c r="N556" s="96">
        <f t="shared" si="1684"/>
        <v>0</v>
      </c>
      <c r="O556" s="96">
        <f t="shared" si="1684"/>
        <v>0</v>
      </c>
      <c r="P556" s="96">
        <f t="shared" si="1684"/>
        <v>0</v>
      </c>
      <c r="Q556" s="96">
        <f t="shared" si="1684"/>
        <v>0</v>
      </c>
      <c r="R556" s="96">
        <f t="shared" si="1684"/>
        <v>0</v>
      </c>
      <c r="S556" s="96">
        <f t="shared" si="1684"/>
        <v>0</v>
      </c>
      <c r="T556" s="96">
        <f t="shared" si="1684"/>
        <v>0</v>
      </c>
      <c r="U556" s="96">
        <f t="shared" si="1684"/>
        <v>0</v>
      </c>
      <c r="V556" s="96">
        <f t="shared" si="1684"/>
        <v>0</v>
      </c>
      <c r="W556" s="96">
        <f t="shared" si="1684"/>
        <v>0</v>
      </c>
      <c r="X556" s="96">
        <f t="shared" si="1684"/>
        <v>0</v>
      </c>
      <c r="Y556" s="96">
        <f t="shared" si="1684"/>
        <v>0</v>
      </c>
      <c r="Z556" s="96">
        <f t="shared" si="1684"/>
        <v>0</v>
      </c>
      <c r="AA556" s="96">
        <f t="shared" si="1684"/>
        <v>0</v>
      </c>
    </row>
    <row r="557" spans="1:27" hidden="1">
      <c r="A557" s="97" t="s">
        <v>100</v>
      </c>
      <c r="B557" s="96">
        <f>IF(SUM(B550:B550)+SUM(A557:A557)&gt;0,0,SUM(B550:B550)-SUM(A557:A557))</f>
        <v>0</v>
      </c>
      <c r="C557" s="96">
        <f>IF(SUM(B550:C550)+SUM(A557:B557)&gt;0,0,SUM(B550:C550)-SUM(A557:B557))</f>
        <v>-15978.83780827119</v>
      </c>
      <c r="D557" s="96">
        <f>IF(SUM(B550:D550)+SUM(A557:C557)&gt;0,0,SUM(B550:D550)-SUM(A557:C557))</f>
        <v>-16681.906671835121</v>
      </c>
      <c r="E557" s="96">
        <f>IF(SUM(B550:E550)+SUM(A557:D557)&gt;0,0,SUM(B550:E550)-SUM(A557:D557))</f>
        <v>-17415.910565395869</v>
      </c>
      <c r="F557" s="96">
        <f>IF(SUM(B550:F550)+SUM(A557:E557)&gt;0,0,SUM(B550:F550)-SUM(A557:E557))</f>
        <v>-6855.204980555769</v>
      </c>
      <c r="G557" s="96">
        <f>IF(SUM(B550:G550)+SUM(A557:F557)&gt;0,0,SUM(B550:G550)-SUM(A557:F557))</f>
        <v>-7749.685525123954</v>
      </c>
      <c r="H557" s="96">
        <f>IF(SUM(B550:H550)+SUM(A557:G557)&gt;0,0,SUM(B550:H550)-SUM(A557:G557))</f>
        <v>-8679.3668294723466</v>
      </c>
      <c r="I557" s="96">
        <f>IF(SUM(B550:I550)+SUM(A557:H557)&gt;0,0,SUM(B550:I550)-SUM(A557:H557))</f>
        <v>-9645.7977270312695</v>
      </c>
      <c r="J557" s="96">
        <f>IF(SUM(B550:J550)+SUM(A557:I557)&gt;0,0,SUM(B550:J550)-SUM(A557:I557))</f>
        <v>-10650.595199902004</v>
      </c>
      <c r="K557" s="96">
        <f>IF(SUM(B550:K550)+SUM(A557:J557)&gt;0,0,SUM(B550:K550)-SUM(A557:J557))</f>
        <v>-11695.447377398261</v>
      </c>
      <c r="L557" s="96">
        <f>IF(SUM(B550:L550)+SUM(A557:K557)&gt;0,0,SUM(B550:L550)-SUM(A557:K557))</f>
        <v>-12782.116666523565</v>
      </c>
      <c r="M557" s="96">
        <f>IF(SUM(B550:M550)+SUM(A557:L557)&gt;0,0,SUM(B550:M550)-SUM(A557:L557))</f>
        <v>-13912.443020189588</v>
      </c>
      <c r="N557" s="96">
        <f>IF(SUM(B550:N550)+SUM(A557:M557)&gt;0,0,SUM(B550:N550)-SUM(A557:M557))</f>
        <v>-15088.347349236108</v>
      </c>
      <c r="O557" s="96">
        <f>IF(SUM(B550:O550)+SUM(A557:N557)&gt;0,0,SUM(B550:O550)-SUM(A557:N557))</f>
        <v>-16311.835084579914</v>
      </c>
      <c r="P557" s="96">
        <f>IF(SUM(B550:P550)+SUM(A557:O557)&gt;0,0,SUM(B550:P550)-SUM(A557:O557))</f>
        <v>-17584.999896098045</v>
      </c>
      <c r="Q557" s="96">
        <f>IF(SUM(B550:Q550)+SUM(A557:P557)&gt;0,0,SUM(B550:Q550)-SUM(A557:P557))</f>
        <v>-18910.027575142187</v>
      </c>
      <c r="R557" s="96">
        <f>IF(SUM(B550:R550)+SUM(A557:Q557)&gt;0,0,SUM(B550:R550)-SUM(A557:Q557))</f>
        <v>-20289.200087883451</v>
      </c>
      <c r="S557" s="96">
        <f>IF(SUM(B550:S550)+SUM(A557:R557)&gt;0,0,SUM(B550:S550)-SUM(A557:R557))</f>
        <v>-21724.899807004549</v>
      </c>
      <c r="T557" s="96">
        <f>IF(SUM(B550:T550)+SUM(A557:S557)&gt;0,0,SUM(B550:T550)-SUM(A557:S557))</f>
        <v>-23219.613929586194</v>
      </c>
      <c r="U557" s="96">
        <f>IF(SUM(B550:U550)+SUM(A557:T557)&gt;0,0,SUM(B550:U550)-SUM(A557:T557))</f>
        <v>-33269.046434013406</v>
      </c>
      <c r="V557" s="96">
        <f>IF(SUM(B550:V550)+SUM(A557:U557)&gt;0,0,SUM(B550:V550)-SUM(A557:U557))</f>
        <v>-34795.230239821889</v>
      </c>
      <c r="W557" s="96">
        <f>IF(SUM(B550:W550)+SUM(A557:V557)&gt;0,0,SUM(B550:W550)-SUM(A557:V557))</f>
        <v>-36388.566133085929</v>
      </c>
      <c r="X557" s="96">
        <f>IF(SUM(B550:X550)+SUM(A557:W557)&gt;0,0,SUM(B550:X550)-SUM(A557:W557))</f>
        <v>-38052.008805653546</v>
      </c>
      <c r="Y557" s="96">
        <f>IF(SUM(B550:Y550)+SUM(A557:X557)&gt;0,0,SUM(B550:Y550)-SUM(A557:X557))</f>
        <v>-39788.642955814197</v>
      </c>
      <c r="Z557" s="96">
        <f>IF(SUM(B550:Z550)+SUM(A557:Y557)&gt;0,0,SUM(B550:Z550)-SUM(A557:Y557))</f>
        <v>-41601.689008581918</v>
      </c>
      <c r="AA557" s="96">
        <f>IF(SUM(B550:AA550)+SUM(A557:Z557)&gt;0,0,SUM(B550:AA550)-SUM(A557:Z557))</f>
        <v>-43494.509087671293</v>
      </c>
    </row>
    <row r="558" spans="1:27" hidden="1">
      <c r="A558" s="97" t="s">
        <v>38</v>
      </c>
      <c r="B558" s="101">
        <f>IF(((SUM(B537:B537)+SUM(B539:B543))+SUM(B560:B560))&lt;0,((SUM(B537:B537)+SUM(B539:B543))+SUM(B560:B560))*0.18-SUM(A558:A558),IF(SUM(A558:B558)&lt;0,0-SUM(A558:B558),0))</f>
        <v>-115932.20338983052</v>
      </c>
      <c r="C558" s="101">
        <f>IF(((SUM(B537:C537)+SUM(B539:C543))+SUM(B560:C560))&lt;0,((SUM(B537:C537)+SUM(B539:C543))+SUM(B560:C560))*0.18-SUM(A558:B558),IF(SUM(B558:B558)&lt;0,0-SUM(B558:B558),0))</f>
        <v>14380.954027444081</v>
      </c>
      <c r="D558" s="101">
        <f>IF(((SUM(B537:D537)+SUM(B539:D543))+SUM(B560:D560))&lt;0,((SUM(B537:D537)+SUM(B539:D543))+SUM(B560:D560))*0.18-SUM(A558:C558),IF(SUM(B558:C558)&lt;0,0-SUM(B558:C558),0))</f>
        <v>15013.716004651593</v>
      </c>
      <c r="E558" s="101">
        <f>IF(((SUM(B537:E537)+SUM(B539:E543))+SUM(B560:E560))&lt;0,((SUM(B537:E537)+SUM(B539:E543))+SUM(B560:E560))*0.18-SUM(A558:D558),IF(SUM(B558:D558)&lt;0,0-SUM(B558:D558),0))</f>
        <v>15674.319508856279</v>
      </c>
      <c r="F558" s="101">
        <f>IF(((SUM(B537:F537)+SUM(B539:F543))+SUM(B560:F560))&lt;0,((SUM(B537:F537)+SUM(B539:F543))+SUM(B560:F560))*0.18-SUM(A558:E558),IF(SUM(B558:E558)&lt;0,0-SUM(B558:E558),0))</f>
        <v>16363.989567245968</v>
      </c>
      <c r="G558" s="101">
        <f>IF(((SUM(B537:G537)+SUM(B539:G543))+SUM(B560:G560))&lt;0,((SUM(B537:G537)+SUM(B539:G543))+SUM(B560:G560))*0.18-SUM(A558:F558),IF(SUM(B558:F558)&lt;0,0-SUM(B558:F558),0))</f>
        <v>17084.005108204779</v>
      </c>
      <c r="H558" s="101">
        <f>IF(((SUM(B537:H537)+SUM(B539:H543))+SUM(B560:H560))&lt;0,((SUM(B537:H537)+SUM(B539:H543))+SUM(B560:H560))*0.18-SUM(A558:G558),IF(SUM(B558:G558)&lt;0,0-SUM(B558:G558),0))</f>
        <v>17835.701332965789</v>
      </c>
      <c r="I558" s="101">
        <f>IF(((SUM(B537:I537)+SUM(B539:I543))+SUM(B560:I560))&lt;0,((SUM(B537:I537)+SUM(B539:I543))+SUM(B560:I560))*0.18-SUM(A558:H558),IF(SUM(B558:H558)&lt;0,0-SUM(B558:H558),0))</f>
        <v>18620.472191616274</v>
      </c>
      <c r="J558" s="101">
        <f>IF(((SUM(B537:J537)+SUM(B539:J543))+SUM(B560:J560))&lt;0,((SUM(B537:J537)+SUM(B539:J543))+SUM(B560:J560))*0.18-SUM(A558:I558),IF(SUM(B558:I558)&lt;0,0-SUM(B558:I558),0))</f>
        <v>959.0456488457603</v>
      </c>
      <c r="K558" s="101">
        <f>IF(((SUM(B537:K537)+SUM(B539:K543))+SUM(B560:K560))&lt;0,((SUM(B537:K537)+SUM(B539:K543))+SUM(B560:K560))*0.18-SUM(A558:J558),IF(SUM(B558:J558)&lt;0,0-SUM(B558:J558),0))</f>
        <v>0</v>
      </c>
      <c r="L558" s="101">
        <f>IF(((SUM(B537:L537)+SUM(B539:L543))+SUM(B560:L560))&lt;0,((SUM(B537:L537)+SUM(B539:L543))+SUM(B560:L560))*0.18-SUM(A558:K558),IF(SUM(B558:K558)&lt;0,0-SUM(B558:K558),0))</f>
        <v>0</v>
      </c>
      <c r="M558" s="101">
        <f>IF(((SUM(B537:M537)+SUM(B539:M543))+SUM(B560:M560))&lt;0,((SUM(B537:M537)+SUM(B539:M543))+SUM(B560:M560))*0.18-SUM(A558:L558),IF(SUM(B558:L558)&lt;0,0-SUM(B558:L558),0))</f>
        <v>0</v>
      </c>
      <c r="N558" s="101">
        <f>IF(((SUM(B537:N537)+SUM(B539:N543))+SUM(B560:N560))&lt;0,((SUM(B537:N537)+SUM(B539:N543))+SUM(B560:N560))*0.18-SUM(A558:M558),IF(SUM(B558:M558)&lt;0,0-SUM(B558:M558),0))</f>
        <v>0</v>
      </c>
      <c r="O558" s="101">
        <f>IF(((SUM(B537:O537)+SUM(B539:O543))+SUM(B560:O560))&lt;0,((SUM(B537:O537)+SUM(B539:O543))+SUM(B560:O560))*0.18-SUM(A558:N558),IF(SUM(B558:N558)&lt;0,0-SUM(B558:N558),0))</f>
        <v>0</v>
      </c>
      <c r="P558" s="101">
        <f>IF(((SUM(B537:P537)+SUM(B539:P543))+SUM(B560:P560))&lt;0,((SUM(B537:P537)+SUM(B539:P543))+SUM(B560:P560))*0.18-SUM(A558:O558),IF(SUM(B558:O558)&lt;0,0-SUM(B558:O558),0))</f>
        <v>0</v>
      </c>
      <c r="Q558" s="101">
        <f>IF(((SUM(B537:Q537)+SUM(B539:Q543))+SUM(B560:Q560))&lt;0,((SUM(B537:Q537)+SUM(B539:Q543))+SUM(B560:Q560))*0.18-SUM(A558:P558),IF(SUM(B558:P558)&lt;0,0-SUM(B558:P558),0))</f>
        <v>0</v>
      </c>
      <c r="R558" s="101">
        <f>IF(((SUM(B537:R537)+SUM(B539:R543))+SUM(B560:R560))&lt;0,((SUM(B537:R537)+SUM(B539:R543))+SUM(B560:R560))*0.18-SUM(A558:Q558),IF(SUM(B558:Q558)&lt;0,0-SUM(B558:Q558),0))</f>
        <v>0</v>
      </c>
      <c r="S558" s="101">
        <f>IF(((SUM(B537:S537)+SUM(B539:S543))+SUM(B560:S560))&lt;0,((SUM(B537:S537)+SUM(B539:S543))+SUM(B560:S560))*0.18-SUM(A558:R558),IF(SUM(B558:R558)&lt;0,0-SUM(B558:R558),0))</f>
        <v>0</v>
      </c>
      <c r="T558" s="101">
        <f>IF(((SUM(B537:T537)+SUM(B539:T543))+SUM(B560:T560))&lt;0,((SUM(B537:T537)+SUM(B539:T543))+SUM(B560:T560))*0.18-SUM(A558:S558),IF(SUM(B558:S558)&lt;0,0-SUM(B558:S558),0))</f>
        <v>0</v>
      </c>
      <c r="U558" s="101">
        <f>IF(((SUM(B537:U537)+SUM(B539:U543))+SUM(B560:U560))&lt;0,((SUM(B537:U537)+SUM(B539:U543))+SUM(B560:U560))*0.18-SUM(A558:T558),IF(SUM(B558:T558)&lt;0,0-SUM(B558:T558),0))</f>
        <v>0</v>
      </c>
      <c r="V558" s="101">
        <f>IF(((SUM(B537:V537)+SUM(B539:V543))+SUM(B560:V560))&lt;0,((SUM(B537:V537)+SUM(B539:V543))+SUM(B560:V560))*0.18-SUM(A558:U558),IF(SUM(B558:U558)&lt;0,0-SUM(B558:U558),0))</f>
        <v>0</v>
      </c>
      <c r="W558" s="101">
        <f>IF(((SUM(B537:W537)+SUM(B539:W543))+SUM(B560:W560))&lt;0,((SUM(B537:W537)+SUM(B539:W543))+SUM(B560:W560))*0.18-SUM(A558:V558),IF(SUM(B558:V558)&lt;0,0-SUM(B558:V558),0))</f>
        <v>0</v>
      </c>
      <c r="X558" s="101">
        <f>IF(((SUM(B537:X537)+SUM(B539:X543))+SUM(B560:X560))&lt;0,((SUM(B537:X537)+SUM(B539:X543))+SUM(B560:X560))*0.18-SUM(A558:W558),IF(SUM(B558:W558)&lt;0,0-SUM(B558:W558),0))</f>
        <v>0</v>
      </c>
      <c r="Y558" s="101">
        <f>IF(((SUM(B537:Y537)+SUM(B539:Y543))+SUM(B560:Y560))&lt;0,((SUM(B537:Y537)+SUM(B539:Y543))+SUM(B560:Y560))*0.18-SUM(A558:X558),IF(SUM(B558:X558)&lt;0,0-SUM(B558:X558),0))</f>
        <v>0</v>
      </c>
      <c r="Z558" s="101">
        <f>IF(((SUM(B537:Z537)+SUM(B539:Z543))+SUM(B560:Z560))&lt;0,((SUM(B537:Z537)+SUM(B539:Z543))+SUM(B560:Z560))*0.18-SUM(A558:Y558),IF(SUM(B558:Y558)&lt;0,0-SUM(B558:Y558),0))</f>
        <v>0</v>
      </c>
      <c r="AA558" s="101">
        <f>IF(((SUM(B537:AA537)+SUM(B539:AA543))+SUM(B560:AA560))&lt;0,((SUM(B537:AA537)+SUM(B539:AA543))+SUM(B560:AA560))*0.18-SUM(A558:Z558),IF(SUM(B558:Z558)&lt;0,0-SUM(B558:Z558),0))</f>
        <v>0</v>
      </c>
    </row>
    <row r="559" spans="1:27" hidden="1">
      <c r="A559" s="97" t="s">
        <v>39</v>
      </c>
      <c r="B559" s="96">
        <f>-B537*(B517)</f>
        <v>0</v>
      </c>
      <c r="C559" s="96">
        <f>-(C537-B537)*B517</f>
        <v>-8308.4745762711882</v>
      </c>
      <c r="D559" s="96">
        <f>-(D537-C537)*B517</f>
        <v>-365.57288135593262</v>
      </c>
      <c r="E559" s="96">
        <f>-(E537-D537)*B517</f>
        <v>-381.6580881355942</v>
      </c>
      <c r="F559" s="96">
        <f>-(F537-E537)*B517</f>
        <v>-398.45104401355934</v>
      </c>
      <c r="G559" s="96">
        <f>-(G537-F537)*B517</f>
        <v>-415.98288995015611</v>
      </c>
      <c r="H559" s="96">
        <f>-(H537-G537)*B517</f>
        <v>-434.28613710796344</v>
      </c>
      <c r="I559" s="96">
        <f>-(I537-H537)*B517</f>
        <v>-453.39472714071309</v>
      </c>
      <c r="J559" s="96">
        <f>-(J537-I537)*B517</f>
        <v>-473.34409513490539</v>
      </c>
      <c r="K559" s="96">
        <f>-(K537-J537)*B517</f>
        <v>-494.17123532084082</v>
      </c>
      <c r="L559" s="96">
        <f>-(L537-K537)*B517</f>
        <v>-515.91476967495839</v>
      </c>
      <c r="M559" s="96">
        <f>-(M537-L537)*B517</f>
        <v>-538.61501954065614</v>
      </c>
      <c r="N559" s="96">
        <f>-(N537-M537)*B517</f>
        <v>-562.31408040044482</v>
      </c>
      <c r="O559" s="96">
        <f>-(O537-N537)*B517</f>
        <v>-587.05589993806495</v>
      </c>
      <c r="P559" s="96">
        <f>-(P537-O537)*B517</f>
        <v>-612.8863595353381</v>
      </c>
      <c r="Q559" s="96">
        <f>-(Q537-P537)*B517</f>
        <v>-639.8533593548957</v>
      </c>
      <c r="R559" s="96">
        <f>-(R537-Q537)*B517</f>
        <v>-668.00690716650865</v>
      </c>
      <c r="S559" s="96">
        <f>-(S537-R537)*B517</f>
        <v>-697.39921108183626</v>
      </c>
      <c r="T559" s="96">
        <f>-(T537-S537)*B517</f>
        <v>-728.08477636943576</v>
      </c>
      <c r="U559" s="96">
        <f>-(U537-T537)*B517</f>
        <v>-760.12050652969344</v>
      </c>
      <c r="V559" s="96">
        <f>-(V537-U537)*B517</f>
        <v>-793.56580881699927</v>
      </c>
      <c r="W559" s="96">
        <f>-(W537-V537)*B517</f>
        <v>-828.48270440494821</v>
      </c>
      <c r="X559" s="96">
        <f>-(X537-W537)*B517</f>
        <v>-864.93594339876438</v>
      </c>
      <c r="Y559" s="96">
        <f>-(Y537-X537)*B517</f>
        <v>-902.99312490831073</v>
      </c>
      <c r="Z559" s="96">
        <f>-(Z537-Y537)*B517</f>
        <v>-942.72482240427644</v>
      </c>
      <c r="AA559" s="96">
        <f>-(AA537-Z537)*B517</f>
        <v>-984.20471459006376</v>
      </c>
    </row>
    <row r="560" spans="1:27" hidden="1">
      <c r="A560" s="97" t="s">
        <v>40</v>
      </c>
      <c r="B560" s="96">
        <f>-(B503+B504)*B506</f>
        <v>-644067.79661016958</v>
      </c>
      <c r="C560" s="96"/>
      <c r="D560" s="96"/>
      <c r="E560" s="96"/>
      <c r="F560" s="96"/>
      <c r="G560" s="96"/>
      <c r="H560" s="96"/>
      <c r="I560" s="96"/>
      <c r="J560" s="96"/>
      <c r="K560" s="96"/>
      <c r="L560" s="96"/>
      <c r="M560" s="96"/>
      <c r="N560" s="96"/>
      <c r="O560" s="96"/>
      <c r="P560" s="96"/>
      <c r="Q560" s="96"/>
      <c r="R560" s="96"/>
      <c r="S560" s="96"/>
      <c r="T560" s="96"/>
      <c r="U560" s="96"/>
      <c r="V560" s="96"/>
      <c r="W560" s="96"/>
      <c r="X560" s="96"/>
      <c r="Y560" s="96"/>
      <c r="Z560" s="96"/>
      <c r="AA560" s="96"/>
    </row>
    <row r="561" spans="1:27" hidden="1">
      <c r="A561" s="97" t="s">
        <v>41</v>
      </c>
      <c r="B561" s="96">
        <f t="shared" ref="B561:AA561" si="1685">B532-B533</f>
        <v>0</v>
      </c>
      <c r="C561" s="96">
        <f t="shared" si="1685"/>
        <v>0</v>
      </c>
      <c r="D561" s="96">
        <f t="shared" si="1685"/>
        <v>0</v>
      </c>
      <c r="E561" s="96">
        <f t="shared" si="1685"/>
        <v>0</v>
      </c>
      <c r="F561" s="96">
        <f t="shared" si="1685"/>
        <v>0</v>
      </c>
      <c r="G561" s="96">
        <f t="shared" si="1685"/>
        <v>0</v>
      </c>
      <c r="H561" s="96">
        <f t="shared" si="1685"/>
        <v>0</v>
      </c>
      <c r="I561" s="96">
        <f t="shared" si="1685"/>
        <v>0</v>
      </c>
      <c r="J561" s="96">
        <f t="shared" si="1685"/>
        <v>0</v>
      </c>
      <c r="K561" s="96">
        <f t="shared" si="1685"/>
        <v>0</v>
      </c>
      <c r="L561" s="96">
        <f t="shared" si="1685"/>
        <v>0</v>
      </c>
      <c r="M561" s="96">
        <f t="shared" si="1685"/>
        <v>0</v>
      </c>
      <c r="N561" s="96">
        <f t="shared" si="1685"/>
        <v>0</v>
      </c>
      <c r="O561" s="96">
        <f t="shared" si="1685"/>
        <v>0</v>
      </c>
      <c r="P561" s="96">
        <f t="shared" si="1685"/>
        <v>0</v>
      </c>
      <c r="Q561" s="96">
        <f t="shared" si="1685"/>
        <v>0</v>
      </c>
      <c r="R561" s="96">
        <f t="shared" si="1685"/>
        <v>0</v>
      </c>
      <c r="S561" s="96">
        <f t="shared" si="1685"/>
        <v>0</v>
      </c>
      <c r="T561" s="96">
        <f t="shared" si="1685"/>
        <v>0</v>
      </c>
      <c r="U561" s="96">
        <f t="shared" si="1685"/>
        <v>0</v>
      </c>
      <c r="V561" s="96">
        <f t="shared" si="1685"/>
        <v>0</v>
      </c>
      <c r="W561" s="96">
        <f t="shared" si="1685"/>
        <v>0</v>
      </c>
      <c r="X561" s="96">
        <f t="shared" si="1685"/>
        <v>0</v>
      </c>
      <c r="Y561" s="96">
        <f t="shared" si="1685"/>
        <v>0</v>
      </c>
      <c r="Z561" s="96">
        <f t="shared" si="1685"/>
        <v>0</v>
      </c>
      <c r="AA561" s="96">
        <f t="shared" si="1685"/>
        <v>0</v>
      </c>
    </row>
    <row r="562" spans="1:27" hidden="1">
      <c r="A562" s="102" t="s">
        <v>42</v>
      </c>
      <c r="B562" s="95">
        <f t="shared" ref="B562:AA562" si="1686">SUM(B554:B561)</f>
        <v>-760000.00000000012</v>
      </c>
      <c r="C562" s="95">
        <f t="shared" si="1686"/>
        <v>69987.830684257657</v>
      </c>
      <c r="D562" s="95">
        <f t="shared" si="1686"/>
        <v>81375.769810636149</v>
      </c>
      <c r="E562" s="95">
        <f t="shared" si="1686"/>
        <v>84956.303682304162</v>
      </c>
      <c r="F562" s="95">
        <f t="shared" si="1686"/>
        <v>86324.21155280013</v>
      </c>
      <c r="G562" s="95">
        <f t="shared" si="1686"/>
        <v>90604.617426095065</v>
      </c>
      <c r="H562" s="95">
        <f t="shared" si="1686"/>
        <v>95056.735621091851</v>
      </c>
      <c r="I562" s="95">
        <f t="shared" si="1686"/>
        <v>99688.121479945301</v>
      </c>
      <c r="J562" s="95">
        <f t="shared" si="1686"/>
        <v>86025.935460663532</v>
      </c>
      <c r="K562" s="95">
        <f t="shared" si="1686"/>
        <v>89225.471381616851</v>
      </c>
      <c r="L562" s="95">
        <f t="shared" si="1686"/>
        <v>93550.405003763924</v>
      </c>
      <c r="M562" s="95">
        <f t="shared" si="1686"/>
        <v>98049.010168562309</v>
      </c>
      <c r="N562" s="95">
        <f t="shared" si="1686"/>
        <v>102728.92842388866</v>
      </c>
      <c r="O562" s="95">
        <f t="shared" si="1686"/>
        <v>107598.13754572622</v>
      </c>
      <c r="P562" s="95">
        <f t="shared" si="1686"/>
        <v>112664.96633220144</v>
      </c>
      <c r="Q562" s="95">
        <f t="shared" si="1686"/>
        <v>117938.11004855842</v>
      </c>
      <c r="R562" s="95">
        <f t="shared" si="1686"/>
        <v>123426.64655171195</v>
      </c>
      <c r="S562" s="95">
        <f t="shared" si="1686"/>
        <v>129140.05312428107</v>
      </c>
      <c r="T562" s="95">
        <f t="shared" si="1686"/>
        <v>135088.22404932004</v>
      </c>
      <c r="U562" s="95">
        <f t="shared" si="1686"/>
        <v>132316.06522952404</v>
      </c>
      <c r="V562" s="95">
        <f t="shared" si="1686"/>
        <v>138387.35515047057</v>
      </c>
      <c r="W562" s="95">
        <f t="shared" si="1686"/>
        <v>144725.78182793871</v>
      </c>
      <c r="X562" s="95">
        <f t="shared" si="1686"/>
        <v>151343.0992792155</v>
      </c>
      <c r="Y562" s="95">
        <f t="shared" si="1686"/>
        <v>158251.57869834846</v>
      </c>
      <c r="Z562" s="95">
        <f t="shared" si="1686"/>
        <v>165464.03121192323</v>
      </c>
      <c r="AA562" s="95">
        <f t="shared" si="1686"/>
        <v>172993.83163609539</v>
      </c>
    </row>
    <row r="563" spans="1:27" hidden="1">
      <c r="A563" s="102" t="s">
        <v>43</v>
      </c>
      <c r="B563" s="95">
        <f>SUM(B562:B562)</f>
        <v>-760000.00000000012</v>
      </c>
      <c r="C563" s="95">
        <f>SUM(B562:C562)</f>
        <v>-690012.16931574245</v>
      </c>
      <c r="D563" s="95">
        <f>SUM(B562:D562)</f>
        <v>-608636.39950510627</v>
      </c>
      <c r="E563" s="95">
        <f>SUM(B562:E562)</f>
        <v>-523680.0958228021</v>
      </c>
      <c r="F563" s="95">
        <f>SUM(B562:F562)</f>
        <v>-437355.88427000196</v>
      </c>
      <c r="G563" s="95">
        <f>SUM(B562:G562)</f>
        <v>-346751.26684390689</v>
      </c>
      <c r="H563" s="95">
        <f>SUM(B562:H562)</f>
        <v>-251694.53122281504</v>
      </c>
      <c r="I563" s="95">
        <f>SUM(B562:I562)</f>
        <v>-152006.40974286973</v>
      </c>
      <c r="J563" s="95">
        <f>SUM(B562:J562)</f>
        <v>-65980.474282206196</v>
      </c>
      <c r="K563" s="95">
        <f>SUM(B562:K562)</f>
        <v>23244.997099410655</v>
      </c>
      <c r="L563" s="95">
        <f>SUM(B562:L562)</f>
        <v>116795.40210317458</v>
      </c>
      <c r="M563" s="95">
        <f>SUM(B562:M562)</f>
        <v>214844.41227173689</v>
      </c>
      <c r="N563" s="95">
        <f>SUM(B562:N562)</f>
        <v>317573.34069562552</v>
      </c>
      <c r="O563" s="95">
        <f>SUM(B562:O562)</f>
        <v>425171.47824135172</v>
      </c>
      <c r="P563" s="95">
        <f>SUM(B562:P562)</f>
        <v>537836.44457355316</v>
      </c>
      <c r="Q563" s="95">
        <f>SUM(B562:Q562)</f>
        <v>655774.55462211161</v>
      </c>
      <c r="R563" s="95">
        <f>SUM(B562:R562)</f>
        <v>779201.20117382356</v>
      </c>
      <c r="S563" s="95">
        <f>SUM(B562:S562)</f>
        <v>908341.25429810467</v>
      </c>
      <c r="T563" s="95">
        <f>SUM(B562:T562)</f>
        <v>1043429.4783474247</v>
      </c>
      <c r="U563" s="95">
        <f>SUM(B562:U562)</f>
        <v>1175745.5435769488</v>
      </c>
      <c r="V563" s="95">
        <f>SUM(B562:V562)</f>
        <v>1314132.8987274193</v>
      </c>
      <c r="W563" s="95">
        <f>SUM(B562:W562)</f>
        <v>1458858.6805553581</v>
      </c>
      <c r="X563" s="95">
        <f>SUM(B562:X562)</f>
        <v>1610201.7798345736</v>
      </c>
      <c r="Y563" s="95">
        <f>SUM(B562:Y562)</f>
        <v>1768453.3585329221</v>
      </c>
      <c r="Z563" s="95">
        <f>SUM(B562:Z562)</f>
        <v>1933917.3897448452</v>
      </c>
      <c r="AA563" s="95">
        <f>SUM(B562:AA562)</f>
        <v>2106911.2213809406</v>
      </c>
    </row>
    <row r="564" spans="1:27" hidden="1">
      <c r="A564" s="103" t="s">
        <v>44</v>
      </c>
      <c r="B564" s="104">
        <f>1/POWER((1+B522),B552)</f>
        <v>1</v>
      </c>
      <c r="C564" s="104">
        <f>1/POWER((1+B522),C552)</f>
        <v>0.92250922509225086</v>
      </c>
      <c r="D564" s="104">
        <f>1/POWER((1+B522),D552)</f>
        <v>0.85102327038030523</v>
      </c>
      <c r="E564" s="104">
        <f>1/POWER((1+B522),E552)</f>
        <v>0.78507681769400839</v>
      </c>
      <c r="F564" s="104">
        <f>1/POWER((1+B522),F552)</f>
        <v>0.72424060672879009</v>
      </c>
      <c r="G564" s="104">
        <f>1/POWER((1+B522),G552)</f>
        <v>0.66811864089371786</v>
      </c>
      <c r="H564" s="104">
        <f>1/POWER((1+B522),H552)</f>
        <v>0.61634560968055141</v>
      </c>
      <c r="I564" s="104">
        <f>1/POWER((1+B522),I552)</f>
        <v>0.56858451077541639</v>
      </c>
      <c r="J564" s="104">
        <f>1/POWER((1+B522),J552)</f>
        <v>0.5245244564348861</v>
      </c>
      <c r="K564" s="104">
        <f>1/POWER((1+B522),K552)</f>
        <v>0.48387864984768086</v>
      </c>
      <c r="L564" s="104">
        <f>1/POWER((1+B522),L552)</f>
        <v>0.44638251830966863</v>
      </c>
      <c r="M564" s="104">
        <f>1/POWER((1+B522),M552)</f>
        <v>0.41179199106057984</v>
      </c>
      <c r="N564" s="104">
        <f>1/POWER((1+B522),N552)</f>
        <v>0.37988191057249071</v>
      </c>
      <c r="O564" s="104">
        <f>1/POWER((1+B522),O552)</f>
        <v>0.35044456694879217</v>
      </c>
      <c r="P564" s="104">
        <f>1/POWER((1+B522),P552)</f>
        <v>0.32328834589371969</v>
      </c>
      <c r="Q564" s="104">
        <f>1/POWER((1+B522),Q552)</f>
        <v>0.2982364814517709</v>
      </c>
      <c r="R564" s="104">
        <f>1/POWER((1+B522),R552)</f>
        <v>0.27512590539831266</v>
      </c>
      <c r="S564" s="104">
        <f>1/POWER((1+B522),S552)</f>
        <v>0.25380618579180131</v>
      </c>
      <c r="T564" s="104">
        <f>1/POWER((1+B522),T552)</f>
        <v>0.2341385477784145</v>
      </c>
      <c r="U564" s="104">
        <f>1/POWER((1+B522),U552)</f>
        <v>0.21599497027529013</v>
      </c>
      <c r="V564" s="104">
        <f>1/POWER((1+B522),V552)</f>
        <v>0.19925735265248168</v>
      </c>
      <c r="W564" s="104">
        <f>1/POWER((1+B522),W552)</f>
        <v>0.18381674598937425</v>
      </c>
      <c r="X564" s="104">
        <f>1/POWER((1+B522),X552)</f>
        <v>0.16957264390163673</v>
      </c>
      <c r="Y564" s="104">
        <f>1/POWER((1+B522),Y552)</f>
        <v>0.15643232832254311</v>
      </c>
      <c r="Z564" s="104">
        <f>1/POWER((1+B522),Z552)</f>
        <v>0.14431026598020583</v>
      </c>
      <c r="AA564" s="104">
        <f>1/POWER((1+B522),AA552)</f>
        <v>0.13312755164225631</v>
      </c>
    </row>
    <row r="565" spans="1:27" hidden="1">
      <c r="A565" s="105" t="s">
        <v>45</v>
      </c>
      <c r="B565" s="106">
        <f t="shared" ref="B565:AA565" si="1687">B562*B564</f>
        <v>-760000.00000000012</v>
      </c>
      <c r="C565" s="106">
        <f t="shared" si="1687"/>
        <v>64564.419450422189</v>
      </c>
      <c r="D565" s="106">
        <f t="shared" si="1687"/>
        <v>69252.673753962488</v>
      </c>
      <c r="E565" s="106">
        <f t="shared" si="1687"/>
        <v>66697.224537949121</v>
      </c>
      <c r="F565" s="106">
        <f t="shared" si="1687"/>
        <v>62519.499350384394</v>
      </c>
      <c r="G565" s="106">
        <f t="shared" si="1687"/>
        <v>60534.633853417901</v>
      </c>
      <c r="H565" s="106">
        <f t="shared" si="1687"/>
        <v>58587.801670624845</v>
      </c>
      <c r="I565" s="106">
        <f t="shared" si="1687"/>
        <v>56681.12178179498</v>
      </c>
      <c r="J565" s="106">
        <f t="shared" si="1687"/>
        <v>45122.707036807129</v>
      </c>
      <c r="K565" s="106">
        <f t="shared" si="1687"/>
        <v>43174.300624159652</v>
      </c>
      <c r="L565" s="106">
        <f t="shared" si="1687"/>
        <v>41759.265374469564</v>
      </c>
      <c r="M565" s="106">
        <f t="shared" si="1687"/>
        <v>40375.797118831309</v>
      </c>
      <c r="N565" s="106">
        <f t="shared" si="1687"/>
        <v>39024.86160073147</v>
      </c>
      <c r="O565" s="106">
        <f t="shared" si="1687"/>
        <v>37707.182716708601</v>
      </c>
      <c r="P565" s="106">
        <f t="shared" si="1687"/>
        <v>36423.270605709018</v>
      </c>
      <c r="Q565" s="106">
        <f t="shared" si="1687"/>
        <v>35173.446969953809</v>
      </c>
      <c r="R565" s="106">
        <f t="shared" si="1687"/>
        <v>33957.867882817278</v>
      </c>
      <c r="S565" s="106">
        <f t="shared" si="1687"/>
        <v>32776.54431642437</v>
      </c>
      <c r="T565" s="106">
        <f t="shared" si="1687"/>
        <v>31629.360600872882</v>
      </c>
      <c r="U565" s="106">
        <f t="shared" si="1687"/>
        <v>28579.604576194397</v>
      </c>
      <c r="V565" s="106">
        <f t="shared" si="1687"/>
        <v>27574.698027861541</v>
      </c>
      <c r="W565" s="106">
        <f t="shared" si="1687"/>
        <v>26603.022276379808</v>
      </c>
      <c r="X565" s="106">
        <f t="shared" si="1687"/>
        <v>25663.649481044464</v>
      </c>
      <c r="Y565" s="106">
        <f t="shared" si="1687"/>
        <v>24755.662916500816</v>
      </c>
      <c r="Z565" s="106">
        <f t="shared" si="1687"/>
        <v>23878.158354349718</v>
      </c>
      <c r="AA565" s="106">
        <f t="shared" si="1687"/>
        <v>23030.245254926082</v>
      </c>
    </row>
    <row r="566" spans="1:27" hidden="1">
      <c r="A566" s="105" t="s">
        <v>46</v>
      </c>
      <c r="B566" s="106">
        <f>SUM(B565:B565)</f>
        <v>-760000.00000000012</v>
      </c>
      <c r="C566" s="106">
        <f>SUM(B565:C565)</f>
        <v>-695435.58054957795</v>
      </c>
      <c r="D566" s="106">
        <f>SUM(B565:D565)</f>
        <v>-626182.90679561545</v>
      </c>
      <c r="E566" s="106">
        <f>SUM(B565:E565)</f>
        <v>-559485.68225766637</v>
      </c>
      <c r="F566" s="106">
        <f>SUM(B565:F565)</f>
        <v>-496966.18290728197</v>
      </c>
      <c r="G566" s="106">
        <f>SUM(B565:G565)</f>
        <v>-436431.54905386409</v>
      </c>
      <c r="H566" s="106">
        <f>SUM(B565:H565)</f>
        <v>-377843.74738323921</v>
      </c>
      <c r="I566" s="106">
        <f>SUM(B565:I565)</f>
        <v>-321162.62560144422</v>
      </c>
      <c r="J566" s="106">
        <f>SUM(B565:J565)</f>
        <v>-276039.91856463708</v>
      </c>
      <c r="K566" s="106">
        <f>SUM(B565:K565)</f>
        <v>-232865.61794047742</v>
      </c>
      <c r="L566" s="106">
        <f>SUM(B565:L565)</f>
        <v>-191106.35256600784</v>
      </c>
      <c r="M566" s="106">
        <f>SUM(B565:M565)</f>
        <v>-150730.55544717654</v>
      </c>
      <c r="N566" s="106">
        <f>SUM(B565:N565)</f>
        <v>-111705.69384644506</v>
      </c>
      <c r="O566" s="106">
        <f>SUM(B565:O565)</f>
        <v>-73998.511129736464</v>
      </c>
      <c r="P566" s="106">
        <f>SUM(B565:P565)</f>
        <v>-37575.240524027446</v>
      </c>
      <c r="Q566" s="106">
        <f>SUM(B565:Q565)</f>
        <v>-2401.7935540736362</v>
      </c>
      <c r="R566" s="106">
        <f>SUM(B565:R565)</f>
        <v>31556.074328743642</v>
      </c>
      <c r="S566" s="106">
        <f>SUM(B565:S565)</f>
        <v>64332.618645168011</v>
      </c>
      <c r="T566" s="106">
        <f>SUM(B565:T565)</f>
        <v>95961.979246040893</v>
      </c>
      <c r="U566" s="106">
        <f>SUM(B565:U565)</f>
        <v>124541.58382223529</v>
      </c>
      <c r="V566" s="106">
        <f>SUM(B565:V565)</f>
        <v>152116.28185009683</v>
      </c>
      <c r="W566" s="106">
        <f>SUM(B565:W565)</f>
        <v>178719.30412647664</v>
      </c>
      <c r="X566" s="106">
        <f>SUM(B565:X565)</f>
        <v>204382.95360752111</v>
      </c>
      <c r="Y566" s="106">
        <f>SUM(B565:Y565)</f>
        <v>229138.61652402193</v>
      </c>
      <c r="Z566" s="106">
        <f>SUM(B565:Z565)</f>
        <v>253016.77487837165</v>
      </c>
      <c r="AA566" s="106">
        <f>SUM(B565:AA565)</f>
        <v>276047.02013329772</v>
      </c>
    </row>
    <row r="567" spans="1:27" hidden="1">
      <c r="A567" s="105" t="s">
        <v>47</v>
      </c>
      <c r="B567" s="107">
        <f>IF((ISERR(IRR(B562:B562))),0,IF(IRR(B562:B562)&lt;0,0,IRR(B562:B562)))</f>
        <v>0</v>
      </c>
      <c r="C567" s="107">
        <f>IF((ISERR(IRR(B562:C562))),0,IF(IRR(B562:C562)&lt;0,0,IRR(B562:C562)))</f>
        <v>0</v>
      </c>
      <c r="D567" s="107">
        <f>IF((ISERR(IRR(B562:D562))),0,IF(IRR(B562:D562)&lt;0,0,IRR(B562:D562)))</f>
        <v>0</v>
      </c>
      <c r="E567" s="107">
        <f>IF((ISERR(IRR(B562:E562))),0,IF(IRR(B562:E562)&lt;0,0,IRR(B562:E562)))</f>
        <v>0</v>
      </c>
      <c r="F567" s="107">
        <f>IF((ISERR(IRR(B562:F562))),0,IF(IRR(B562:F562)&lt;0,0,IRR(B562:F562)))</f>
        <v>0</v>
      </c>
      <c r="G567" s="107">
        <f>IF((ISERR(IRR(B562:G562))),0,IF(IRR(B562:G562)&lt;0,0,IRR(B562:G562)))</f>
        <v>0</v>
      </c>
      <c r="H567" s="107">
        <f>IF((ISERR(IRR(B562:H562))),0,IF(IRR(B562:H562)&lt;0,0,IRR(B562:H562)))</f>
        <v>0</v>
      </c>
      <c r="I567" s="107">
        <f>IF((ISERR(IRR(B562:I562))),0,IF(IRR(B562:I562)&lt;0,0,IRR(B562:I562)))</f>
        <v>0</v>
      </c>
      <c r="J567" s="107">
        <f>IF((ISERR(IRR(B562:J562))),0,IF(IRR(B562:J562)&lt;0,0,IRR(B562:J562)))</f>
        <v>0</v>
      </c>
      <c r="K567" s="107">
        <f>IF((ISERR(IRR(B562:K562))),0,IF(IRR(B562:K562)&lt;0,0,IRR(B562:K562)))</f>
        <v>5.8712895893113792E-3</v>
      </c>
      <c r="L567" s="107">
        <f>IF((ISERR(IRR(B562:L562))),0,IF(IRR(B562:L562)&lt;0,0,IRR(B562:L562)))</f>
        <v>2.595156950389832E-2</v>
      </c>
      <c r="M567" s="107">
        <f>IF((ISERR(IRR(B562:M562))),0,IF(IRR(B562:M562)&lt;0,0,IRR(B562:M562)))</f>
        <v>4.2251089035550971E-2</v>
      </c>
      <c r="N567" s="107">
        <f>IF((ISERR(IRR(B562:N562))),0,IF(IRR(B562:N562)&lt;0,0,IRR(B562:N562)))</f>
        <v>5.559777507136543E-2</v>
      </c>
      <c r="O567" s="107">
        <f>IF((ISERR(IRR(B562:O562))),0,IF(IRR(B562:O562)&lt;0,0,IRR(B562:O562)))</f>
        <v>6.6622313916713916E-2</v>
      </c>
      <c r="P567" s="107">
        <f>IF((ISERR(IRR(B562:P562))),0,IF(IRR(B562:P562)&lt;0,0,IRR(B562:P562)))</f>
        <v>7.5804438637393945E-2</v>
      </c>
      <c r="Q567" s="107">
        <f>IF((ISERR(IRR(B562:Q562))),0,IF(IRR(B562:Q562)&lt;0,0,IRR(B562:Q562)))</f>
        <v>8.3510997289037547E-2</v>
      </c>
      <c r="R567" s="107">
        <f>IF((ISERR(IRR(B562:R562))),0,IF(IRR(B562:R562)&lt;0,0,IRR(B562:R562)))</f>
        <v>9.0024821807153099E-2</v>
      </c>
      <c r="S567" s="107">
        <f>IF((ISERR(IRR(B562:S562))),0,IF(IRR(B562:S562)&lt;0,0,IRR(B562:S562)))</f>
        <v>9.5566003484702566E-2</v>
      </c>
      <c r="T567" s="107">
        <f>IF((ISERR(IRR(B562:T562))),0,IF(IRR(B562:T562)&lt;0,0,IRR(B562:T562)))</f>
        <v>0.10030744784814005</v>
      </c>
      <c r="U567" s="107">
        <f>IF((ISERR(IRR(B562:U562))),0,IF(IRR(B562:U562)&lt;0,0,IRR(B562:U562)))</f>
        <v>0.1041386238580968</v>
      </c>
      <c r="V567" s="107">
        <f>IF((ISERR(IRR(B562:V562))),0,IF(IRR(B562:V562)&lt;0,0,IRR(B562:V562)))</f>
        <v>0.10746915741848317</v>
      </c>
      <c r="W567" s="107">
        <f>IF((ISERR(IRR(B562:W562))),0,IF(IRR(B562:W562)&lt;0,0,IRR(B562:W562)))</f>
        <v>0.11037542054498806</v>
      </c>
      <c r="X567" s="107">
        <f>IF((ISERR(IRR(B562:X562))),0,IF(IRR(B562:X562)&lt;0,0,IRR(B562:X562)))</f>
        <v>0.11292044226144782</v>
      </c>
      <c r="Y567" s="107">
        <f>IF((ISERR(IRR(B562:Y562))),0,IF(IRR(B562:Y562)&lt;0,0,IRR(B562:Y562)))</f>
        <v>0.11515649010853157</v>
      </c>
      <c r="Z567" s="107">
        <f>IF((ISERR(IRR(B562:Z562))),0,IF(IRR(B562:Z562)&lt;0,0,IRR(B562:Z562)))</f>
        <v>0.11712712176128925</v>
      </c>
      <c r="AA567" s="107">
        <f>IF((ISERR(IRR(B562:AA562))),0,IF(IRR(B562:AA562)&lt;0,0,IRR(B562:AA562)))</f>
        <v>0.11886881519477055</v>
      </c>
    </row>
    <row r="568" spans="1:27" hidden="1">
      <c r="A568" s="105" t="s">
        <v>48</v>
      </c>
      <c r="B568" s="108"/>
      <c r="C568" s="108">
        <f t="shared" ref="C568" si="1688">IF(AND(C563&gt;0,B563&lt;0),(C552-(C563/(C563-B563))),0)</f>
        <v>0</v>
      </c>
      <c r="D568" s="108">
        <f t="shared" ref="D568" si="1689">IF(AND(D563&gt;0,C563&lt;0),(D552-(D563/(D563-C563))),0)</f>
        <v>0</v>
      </c>
      <c r="E568" s="108">
        <f t="shared" ref="E568" si="1690">IF(AND(E563&gt;0,D563&lt;0),(E552-(E563/(E563-D563))),0)</f>
        <v>0</v>
      </c>
      <c r="F568" s="108">
        <f t="shared" ref="F568" si="1691">IF(AND(F563&gt;0,E563&lt;0),(F552-(F563/(F563-E563))),0)</f>
        <v>0</v>
      </c>
      <c r="G568" s="108">
        <f t="shared" ref="G568" si="1692">IF(AND(G563&gt;0,F563&lt;0),(G552-(G563/(G563-F563))),0)</f>
        <v>0</v>
      </c>
      <c r="H568" s="108">
        <f t="shared" ref="H568" si="1693">IF(AND(H563&gt;0,G563&lt;0),(H552-(H563/(H563-G563))),0)</f>
        <v>0</v>
      </c>
      <c r="I568" s="108">
        <f t="shared" ref="I568" si="1694">IF(AND(I563&gt;0,H563&lt;0),(I552-(I563/(I563-H563))),0)</f>
        <v>0</v>
      </c>
      <c r="J568" s="108">
        <f t="shared" ref="J568" si="1695">IF(AND(J563&gt;0,I563&lt;0),(J552-(J563/(J563-I563))),0)</f>
        <v>0</v>
      </c>
      <c r="K568" s="108">
        <f t="shared" ref="K568" si="1696">IF(AND(K563&gt;0,J563&lt;0),(K552-(K563/(K563-J563))),0)</f>
        <v>8.7394802544668888</v>
      </c>
      <c r="L568" s="108">
        <f t="shared" ref="L568" si="1697">IF(AND(L563&gt;0,K563&lt;0),(L552-(L563/(L563-K563))),0)</f>
        <v>0</v>
      </c>
      <c r="M568" s="108">
        <f t="shared" ref="M568" si="1698">IF(AND(M563&gt;0,L563&lt;0),(M552-(M563/(M563-L563))),0)</f>
        <v>0</v>
      </c>
      <c r="N568" s="108">
        <f t="shared" ref="N568" si="1699">IF(AND(N563&gt;0,M563&lt;0),(N552-(N563/(N563-M563))),0)</f>
        <v>0</v>
      </c>
      <c r="O568" s="108">
        <f t="shared" ref="O568" si="1700">IF(AND(O563&gt;0,N563&lt;0),(O552-(O563/(O563-N563))),0)</f>
        <v>0</v>
      </c>
      <c r="P568" s="108">
        <f>IF(AND(P563&gt;0,O563&lt;0),(P552-(P563/(P563-O563))),0)</f>
        <v>0</v>
      </c>
      <c r="Q568" s="108">
        <f>IF(AND(Q563&gt;0,P563&lt;0),(Q552-(Q563/(Q563-P563))),0)</f>
        <v>0</v>
      </c>
      <c r="R568" s="108">
        <f t="shared" ref="R568" si="1701">IF(AND(R563&gt;0,Q563&lt;0),(R552-(R563/(R563-Q563))),0)</f>
        <v>0</v>
      </c>
      <c r="S568" s="108">
        <f t="shared" ref="S568" si="1702">IF(AND(S563&gt;0,R563&lt;0),(S552-(S563/(S563-R563))),0)</f>
        <v>0</v>
      </c>
      <c r="T568" s="108">
        <f t="shared" ref="T568" si="1703">IF(AND(T563&gt;0,S563&lt;0),(T552-(T563/(T563-S563))),0)</f>
        <v>0</v>
      </c>
      <c r="U568" s="108">
        <f t="shared" ref="U568" si="1704">IF(AND(U563&gt;0,T563&lt;0),(U552-(U563/(U563-T563))),0)</f>
        <v>0</v>
      </c>
      <c r="V568" s="108">
        <f t="shared" ref="V568" si="1705">IF(AND(V563&gt;0,U563&lt;0),(V552-(V563/(V563-U563))),0)</f>
        <v>0</v>
      </c>
      <c r="W568" s="108">
        <f t="shared" ref="W568" si="1706">IF(AND(W563&gt;0,V563&lt;0),(W552-(W563/(W563-V563))),0)</f>
        <v>0</v>
      </c>
      <c r="X568" s="108">
        <f t="shared" ref="X568" si="1707">IF(AND(X563&gt;0,W563&lt;0),(X552-(X563/(X563-W563))),0)</f>
        <v>0</v>
      </c>
      <c r="Y568" s="108">
        <f t="shared" ref="Y568" si="1708">IF(AND(Y563&gt;0,X563&lt;0),(Y552-(Y563/(Y563-X563))),0)</f>
        <v>0</v>
      </c>
      <c r="Z568" s="108">
        <f t="shared" ref="Z568" si="1709">IF(AND(Z563&gt;0,Y563&lt;0),(Z552-(Z563/(Z563-Y563))),0)</f>
        <v>0</v>
      </c>
      <c r="AA568" s="108">
        <f t="shared" ref="AA568" si="1710">IF(AND(AA563&gt;0,Z563&lt;0),(AA552-(AA563/(AA563-Z563))),0)</f>
        <v>0</v>
      </c>
    </row>
    <row r="569" spans="1:27" ht="16.5" hidden="1" thickBot="1">
      <c r="A569" s="109" t="s">
        <v>49</v>
      </c>
      <c r="B569" s="110"/>
      <c r="C569" s="110">
        <f t="shared" ref="C569" si="1711">IF(AND(C566&gt;0,B566&lt;0),(C552-(C566/(C566-B566))),0)</f>
        <v>0</v>
      </c>
      <c r="D569" s="110">
        <f t="shared" ref="D569" si="1712">IF(AND(D566&gt;0,C566&lt;0),(D552-(D566/(D566-C566))),0)</f>
        <v>0</v>
      </c>
      <c r="E569" s="110">
        <f t="shared" ref="E569" si="1713">IF(AND(E566&gt;0,D566&lt;0),(E552-(E566/(E566-D566))),0)</f>
        <v>0</v>
      </c>
      <c r="F569" s="110">
        <f t="shared" ref="F569" si="1714">IF(AND(F566&gt;0,E566&lt;0),(F552-(F566/(F566-E566))),0)</f>
        <v>0</v>
      </c>
      <c r="G569" s="110">
        <f t="shared" ref="G569" si="1715">IF(AND(G566&gt;0,F566&lt;0),(G552-(G566/(G566-F566))),0)</f>
        <v>0</v>
      </c>
      <c r="H569" s="110">
        <f t="shared" ref="H569" si="1716">IF(AND(H566&gt;0,G566&lt;0),(H552-(H566/(H566-G566))),0)</f>
        <v>0</v>
      </c>
      <c r="I569" s="110">
        <f t="shared" ref="I569" si="1717">IF(AND(I566&gt;0,H566&lt;0),(I552-(I566/(I566-H566))),0)</f>
        <v>0</v>
      </c>
      <c r="J569" s="110">
        <f t="shared" ref="J569" si="1718">IF(AND(J566&gt;0,I566&lt;0),(J552-(J566/(J566-I566))),0)</f>
        <v>0</v>
      </c>
      <c r="K569" s="110">
        <f t="shared" ref="K569" si="1719">IF(AND(K566&gt;0,J566&lt;0),(K552-(K566/(K566-J566))),0)</f>
        <v>0</v>
      </c>
      <c r="L569" s="110">
        <f t="shared" ref="L569" si="1720">IF(AND(L566&gt;0,K566&lt;0),(L552-(L566/(L566-K566))),0)</f>
        <v>0</v>
      </c>
      <c r="M569" s="110">
        <f t="shared" ref="M569" si="1721">IF(AND(M566&gt;0,L566&lt;0),(M552-(M566/(M566-L566))),0)</f>
        <v>0</v>
      </c>
      <c r="N569" s="110">
        <f t="shared" ref="N569" si="1722">IF(AND(N566&gt;0,M566&lt;0),(N552-(N566/(N566-M566))),0)</f>
        <v>0</v>
      </c>
      <c r="O569" s="110">
        <f t="shared" ref="O569" si="1723">IF(AND(O566&gt;0,N566&lt;0),(O552-(O566/(O566-N566))),0)</f>
        <v>0</v>
      </c>
      <c r="P569" s="110">
        <f t="shared" ref="P569" si="1724">IF(AND(P566&gt;0,O566&lt;0),(P552-(P566/(P566-O566))),0)</f>
        <v>0</v>
      </c>
      <c r="Q569" s="110">
        <f t="shared" ref="Q569" si="1725">IF(AND(Q566&gt;0,P566&lt;0),(Q552-(Q566/(Q566-P566))),0)</f>
        <v>0</v>
      </c>
      <c r="R569" s="110">
        <f t="shared" ref="R569" si="1726">IF(AND(R566&gt;0,Q566&lt;0),(R552-(R566/(R566-Q566))),0)</f>
        <v>15.070728632385338</v>
      </c>
      <c r="S569" s="110">
        <f t="shared" ref="S569" si="1727">IF(AND(S566&gt;0,R566&lt;0),(S552-(S566/(S566-R566))),0)</f>
        <v>0</v>
      </c>
      <c r="T569" s="110">
        <f t="shared" ref="T569" si="1728">IF(AND(T566&gt;0,S566&lt;0),(T552-(T566/(T566-S566))),0)</f>
        <v>0</v>
      </c>
      <c r="U569" s="110">
        <f t="shared" ref="U569" si="1729">IF(AND(U566&gt;0,T566&lt;0),(U552-(U566/(U566-T566))),0)</f>
        <v>0</v>
      </c>
      <c r="V569" s="110">
        <f t="shared" ref="V569" si="1730">IF(AND(V566&gt;0,U566&lt;0),(V552-(V566/(V566-U566))),0)</f>
        <v>0</v>
      </c>
      <c r="W569" s="110">
        <f t="shared" ref="W569" si="1731">IF(AND(W566&gt;0,V566&lt;0),(W552-(W566/(W566-V566))),0)</f>
        <v>0</v>
      </c>
      <c r="X569" s="110">
        <f t="shared" ref="X569" si="1732">IF(AND(X566&gt;0,W566&lt;0),(X552-(X566/(X566-W566))),0)</f>
        <v>0</v>
      </c>
      <c r="Y569" s="110">
        <f t="shared" ref="Y569" si="1733">IF(AND(Y566&gt;0,X566&lt;0),(Y552-(Y566/(Y566-X566))),0)</f>
        <v>0</v>
      </c>
      <c r="Z569" s="110">
        <f t="shared" ref="Z569" si="1734">IF(AND(Z566&gt;0,Y566&lt;0),(Z552-(Z566/(Z566-Y566))),0)</f>
        <v>0</v>
      </c>
      <c r="AA569" s="110">
        <f>IF(AND(AA566&gt;0,Z566&lt;0),(AA552-(AA566/(AA566-Z566))),0)</f>
        <v>0</v>
      </c>
    </row>
    <row r="570" spans="1:27" hidden="1"/>
    <row r="571" spans="1:27" ht="16.5" hidden="1" thickBot="1">
      <c r="A571" s="58" t="s">
        <v>299</v>
      </c>
      <c r="B571" s="58" t="s">
        <v>300</v>
      </c>
      <c r="D571" s="59"/>
      <c r="E571" s="60"/>
      <c r="F571" s="60"/>
      <c r="G571" s="60"/>
      <c r="H571" s="60"/>
    </row>
    <row r="572" spans="1:27" hidden="1">
      <c r="A572" s="61" t="s">
        <v>301</v>
      </c>
      <c r="B572" s="678">
        <f>3.18*1000000/1.18</f>
        <v>2694915.2542372881</v>
      </c>
      <c r="C572" s="62"/>
      <c r="D572" s="62"/>
      <c r="E572" s="62"/>
      <c r="F572" s="62"/>
      <c r="G572" s="62"/>
      <c r="H572" s="62"/>
      <c r="I572" s="62"/>
      <c r="J572" s="62"/>
      <c r="K572" s="62"/>
    </row>
    <row r="573" spans="1:27" hidden="1">
      <c r="A573" s="63" t="s">
        <v>302</v>
      </c>
      <c r="B573" s="64">
        <v>0</v>
      </c>
      <c r="C573" s="62"/>
      <c r="D573" s="62"/>
      <c r="E573" s="62"/>
      <c r="F573" s="62"/>
      <c r="G573" s="62"/>
      <c r="H573" s="62"/>
      <c r="I573" s="62"/>
      <c r="J573" s="62"/>
      <c r="K573" s="62"/>
    </row>
    <row r="574" spans="1:27" hidden="1">
      <c r="A574" s="63" t="s">
        <v>303</v>
      </c>
      <c r="B574" s="64">
        <v>15</v>
      </c>
      <c r="C574" s="62"/>
      <c r="D574" s="57" t="s">
        <v>304</v>
      </c>
      <c r="E574" s="62"/>
      <c r="F574" s="62"/>
      <c r="G574" s="62"/>
      <c r="H574" s="62"/>
      <c r="I574" s="62"/>
      <c r="J574" s="62"/>
      <c r="K574" s="62"/>
    </row>
    <row r="575" spans="1:27" ht="16.5" hidden="1" thickBot="1">
      <c r="A575" s="65" t="s">
        <v>305</v>
      </c>
      <c r="B575" s="68">
        <v>1</v>
      </c>
      <c r="C575" s="62"/>
      <c r="D575" s="929" t="s">
        <v>306</v>
      </c>
      <c r="E575" s="929"/>
      <c r="F575" s="934">
        <f>SUM(B637:X637)</f>
        <v>8.7393756237943432</v>
      </c>
      <c r="G575" s="935">
        <f>SUM(C637:Y637)</f>
        <v>8.7393756237943432</v>
      </c>
      <c r="K575" s="66"/>
    </row>
    <row r="576" spans="1:27" hidden="1">
      <c r="A576" s="70" t="s">
        <v>469</v>
      </c>
      <c r="B576" s="473">
        <f>B572*0.417/100</f>
        <v>11237.796610169493</v>
      </c>
      <c r="C576" s="62"/>
      <c r="D576" s="929" t="s">
        <v>470</v>
      </c>
      <c r="E576" s="929"/>
      <c r="F576" s="934">
        <f>IF(SUM(B638:AA638)=0,"не окупается",SUM(B638:AA638))</f>
        <v>15.043757133265407</v>
      </c>
      <c r="G576" s="935"/>
      <c r="K576" s="66"/>
    </row>
    <row r="577" spans="1:11" hidden="1">
      <c r="A577" s="72" t="s">
        <v>471</v>
      </c>
      <c r="B577" s="474">
        <v>5</v>
      </c>
      <c r="C577" s="62"/>
      <c r="D577" s="929" t="s">
        <v>50</v>
      </c>
      <c r="E577" s="929"/>
      <c r="F577" s="932">
        <f>AA635</f>
        <v>1145625.2531282613</v>
      </c>
      <c r="G577" s="933"/>
      <c r="K577" s="66"/>
    </row>
    <row r="578" spans="1:11" hidden="1">
      <c r="A578" s="72" t="s">
        <v>6</v>
      </c>
      <c r="B578" s="474">
        <v>1</v>
      </c>
      <c r="C578" s="62"/>
      <c r="D578" s="929" t="s">
        <v>7</v>
      </c>
      <c r="E578" s="929"/>
      <c r="F578" s="930" t="str">
        <f>IF(F577&gt;0,"да","нет")</f>
        <v>да</v>
      </c>
      <c r="G578" s="931"/>
      <c r="K578" s="66"/>
    </row>
    <row r="579" spans="1:11" hidden="1">
      <c r="A579" s="72" t="s">
        <v>8</v>
      </c>
      <c r="B579" s="474">
        <f>B572*0.0375/100</f>
        <v>1010.5932203389831</v>
      </c>
      <c r="C579" s="62"/>
      <c r="D579" s="62"/>
      <c r="E579" s="62"/>
      <c r="F579" s="62"/>
      <c r="G579" s="62"/>
      <c r="H579" s="62"/>
      <c r="I579" s="62"/>
      <c r="J579" s="62"/>
      <c r="K579" s="62"/>
    </row>
    <row r="580" spans="1:11" hidden="1">
      <c r="A580" s="72" t="s">
        <v>9</v>
      </c>
      <c r="B580" s="475">
        <v>5</v>
      </c>
      <c r="C580" s="62"/>
      <c r="D580" s="62"/>
      <c r="E580" s="62"/>
      <c r="F580" s="62"/>
      <c r="G580" s="62"/>
      <c r="H580" s="62"/>
      <c r="I580" s="62"/>
      <c r="J580" s="62"/>
      <c r="K580" s="62"/>
    </row>
    <row r="581" spans="1:11" hidden="1">
      <c r="A581" s="72" t="s">
        <v>10</v>
      </c>
      <c r="B581" s="475">
        <v>1</v>
      </c>
      <c r="C581" s="62"/>
      <c r="D581" s="62"/>
      <c r="E581" s="62"/>
      <c r="F581" s="62"/>
      <c r="G581" s="62"/>
      <c r="H581" s="62"/>
      <c r="I581" s="62"/>
      <c r="J581" s="62"/>
      <c r="K581" s="62"/>
    </row>
    <row r="582" spans="1:11" hidden="1">
      <c r="A582" s="75" t="s">
        <v>290</v>
      </c>
      <c r="B582" s="475">
        <v>0</v>
      </c>
      <c r="C582" s="62"/>
      <c r="D582" s="62"/>
      <c r="E582" s="62"/>
      <c r="F582" s="62"/>
      <c r="G582" s="62"/>
      <c r="H582" s="62"/>
      <c r="I582" s="62"/>
      <c r="J582" s="62"/>
      <c r="K582" s="62"/>
    </row>
    <row r="583" spans="1:11" ht="16.5" hidden="1" thickBot="1">
      <c r="A583" s="471" t="s">
        <v>100</v>
      </c>
      <c r="B583" s="476">
        <v>0.2</v>
      </c>
      <c r="C583" s="62"/>
      <c r="D583" s="62"/>
      <c r="E583" s="62"/>
      <c r="F583" s="62"/>
      <c r="G583" s="62"/>
      <c r="H583" s="62"/>
      <c r="I583" s="62"/>
      <c r="J583" s="62"/>
      <c r="K583" s="62"/>
    </row>
    <row r="584" spans="1:11" hidden="1">
      <c r="A584" s="61" t="s">
        <v>290</v>
      </c>
      <c r="B584" s="472">
        <v>0</v>
      </c>
      <c r="C584" s="62"/>
      <c r="D584" s="62"/>
      <c r="E584" s="62"/>
      <c r="F584" s="62"/>
      <c r="G584" s="62"/>
      <c r="H584" s="62"/>
      <c r="I584" s="62"/>
      <c r="J584" s="62"/>
      <c r="K584" s="62"/>
    </row>
    <row r="585" spans="1:11" hidden="1">
      <c r="A585" s="63" t="s">
        <v>11</v>
      </c>
      <c r="B585" s="64">
        <v>0</v>
      </c>
      <c r="C585" s="62"/>
      <c r="D585" s="62"/>
      <c r="E585" s="62"/>
      <c r="F585" s="62"/>
      <c r="G585" s="62"/>
      <c r="H585" s="62"/>
      <c r="I585" s="62"/>
      <c r="J585" s="62"/>
      <c r="K585" s="62"/>
    </row>
    <row r="586" spans="1:11" ht="16.5" hidden="1" thickBot="1">
      <c r="A586" s="67" t="s">
        <v>12</v>
      </c>
      <c r="B586" s="69">
        <v>0.1</v>
      </c>
      <c r="C586" s="62"/>
      <c r="D586" s="62"/>
      <c r="E586" s="62"/>
      <c r="F586" s="62"/>
      <c r="G586" s="62"/>
      <c r="H586" s="62"/>
      <c r="I586" s="62"/>
      <c r="J586" s="62"/>
      <c r="K586" s="62"/>
    </row>
    <row r="587" spans="1:11" hidden="1">
      <c r="A587" s="70" t="s">
        <v>13</v>
      </c>
      <c r="B587" s="71">
        <v>7</v>
      </c>
    </row>
    <row r="588" spans="1:11" hidden="1">
      <c r="A588" s="72" t="s">
        <v>14</v>
      </c>
      <c r="B588" s="73">
        <v>0.14000000000000001</v>
      </c>
    </row>
    <row r="589" spans="1:11" hidden="1">
      <c r="A589" s="72" t="s">
        <v>15</v>
      </c>
      <c r="B589" s="74">
        <v>0.14000000000000001</v>
      </c>
    </row>
    <row r="590" spans="1:11" hidden="1">
      <c r="A590" s="72" t="s">
        <v>16</v>
      </c>
      <c r="B590" s="74">
        <f>+(B600+B601)/B572</f>
        <v>0</v>
      </c>
    </row>
    <row r="591" spans="1:11" hidden="1">
      <c r="A591" s="72" t="s">
        <v>17</v>
      </c>
      <c r="B591" s="74">
        <v>8.4000000000000005E-2</v>
      </c>
    </row>
    <row r="592" spans="1:11" hidden="1">
      <c r="A592" s="72" t="s">
        <v>18</v>
      </c>
      <c r="B592" s="74">
        <f>1-B590</f>
        <v>1</v>
      </c>
    </row>
    <row r="593" spans="1:27" ht="16.5" hidden="1" thickBot="1">
      <c r="A593" s="75" t="s">
        <v>19</v>
      </c>
      <c r="B593" s="76">
        <f>B592*B591+B590*B589*(1-B583)</f>
        <v>8.4000000000000005E-2</v>
      </c>
    </row>
    <row r="594" spans="1:27" ht="47.25" hidden="1">
      <c r="A594" s="77" t="s">
        <v>20</v>
      </c>
      <c r="B594" s="78" t="s">
        <v>553</v>
      </c>
      <c r="C594" s="79">
        <v>2017</v>
      </c>
      <c r="D594" s="80">
        <f t="shared" ref="D594" si="1735">C594+1</f>
        <v>2018</v>
      </c>
      <c r="E594" s="80">
        <f t="shared" ref="E594" si="1736">D594+1</f>
        <v>2019</v>
      </c>
      <c r="F594" s="80">
        <f t="shared" ref="F594" si="1737">E594+1</f>
        <v>2020</v>
      </c>
      <c r="G594" s="80">
        <f t="shared" ref="G594" si="1738">F594+1</f>
        <v>2021</v>
      </c>
      <c r="H594" s="80">
        <f t="shared" ref="H594" si="1739">G594+1</f>
        <v>2022</v>
      </c>
      <c r="I594" s="80">
        <f t="shared" ref="I594" si="1740">H594+1</f>
        <v>2023</v>
      </c>
      <c r="J594" s="80">
        <f t="shared" ref="J594" si="1741">I594+1</f>
        <v>2024</v>
      </c>
      <c r="K594" s="80">
        <f t="shared" ref="K594" si="1742">J594+1</f>
        <v>2025</v>
      </c>
      <c r="L594" s="81">
        <f t="shared" ref="L594" si="1743">K594+1</f>
        <v>2026</v>
      </c>
      <c r="M594" s="81">
        <f t="shared" ref="M594" si="1744">L594+1</f>
        <v>2027</v>
      </c>
      <c r="N594" s="81">
        <f t="shared" ref="N594" si="1745">M594+1</f>
        <v>2028</v>
      </c>
      <c r="O594" s="81">
        <f t="shared" ref="O594" si="1746">N594+1</f>
        <v>2029</v>
      </c>
      <c r="P594" s="81">
        <f t="shared" ref="P594" si="1747">O594+1</f>
        <v>2030</v>
      </c>
      <c r="Q594" s="81">
        <f t="shared" ref="Q594" si="1748">P594+1</f>
        <v>2031</v>
      </c>
      <c r="R594" s="81">
        <f t="shared" ref="R594" si="1749">Q594+1</f>
        <v>2032</v>
      </c>
      <c r="S594" s="81">
        <f t="shared" ref="S594" si="1750">R594+1</f>
        <v>2033</v>
      </c>
      <c r="T594" s="81">
        <f t="shared" ref="T594" si="1751">S594+1</f>
        <v>2034</v>
      </c>
      <c r="U594" s="81">
        <f t="shared" ref="U594" si="1752">T594+1</f>
        <v>2035</v>
      </c>
      <c r="V594" s="81">
        <f t="shared" ref="V594" si="1753">U594+1</f>
        <v>2036</v>
      </c>
      <c r="W594" s="81">
        <f t="shared" ref="W594" si="1754">V594+1</f>
        <v>2037</v>
      </c>
      <c r="X594" s="81">
        <f t="shared" ref="X594" si="1755">W594+1</f>
        <v>2038</v>
      </c>
      <c r="Y594" s="81">
        <f t="shared" ref="Y594" si="1756">X594+1</f>
        <v>2039</v>
      </c>
      <c r="Z594" s="81">
        <f t="shared" ref="Z594" si="1757">Y594+1</f>
        <v>2040</v>
      </c>
      <c r="AA594" s="82">
        <f t="shared" ref="AA594" si="1758">Z594+1</f>
        <v>2041</v>
      </c>
    </row>
    <row r="595" spans="1:27" hidden="1">
      <c r="A595" s="83" t="s">
        <v>21</v>
      </c>
      <c r="B595" s="84">
        <v>4.3999999999999997E-2</v>
      </c>
      <c r="C595" s="84">
        <v>4.3999999999999997E-2</v>
      </c>
      <c r="D595" s="84">
        <v>4.3999999999999997E-2</v>
      </c>
      <c r="E595" s="84">
        <v>4.3999999999999997E-2</v>
      </c>
      <c r="F595" s="84">
        <v>4.3999999999999997E-2</v>
      </c>
      <c r="G595" s="84">
        <v>4.3999999999999997E-2</v>
      </c>
      <c r="H595" s="84">
        <v>4.3999999999999997E-2</v>
      </c>
      <c r="I595" s="84">
        <v>4.3999999999999997E-2</v>
      </c>
      <c r="J595" s="84">
        <v>4.3999999999999997E-2</v>
      </c>
      <c r="K595" s="84">
        <v>4.3999999999999997E-2</v>
      </c>
      <c r="L595" s="84">
        <v>4.3999999999999997E-2</v>
      </c>
      <c r="M595" s="84">
        <v>4.3999999999999997E-2</v>
      </c>
      <c r="N595" s="84">
        <v>4.3999999999999997E-2</v>
      </c>
      <c r="O595" s="84">
        <v>4.3999999999999997E-2</v>
      </c>
      <c r="P595" s="84">
        <v>4.3999999999999997E-2</v>
      </c>
      <c r="Q595" s="84">
        <v>4.3999999999999997E-2</v>
      </c>
      <c r="R595" s="84">
        <v>4.3999999999999997E-2</v>
      </c>
      <c r="S595" s="84">
        <v>4.3999999999999997E-2</v>
      </c>
      <c r="T595" s="84">
        <v>4.3999999999999997E-2</v>
      </c>
      <c r="U595" s="84">
        <v>4.3999999999999997E-2</v>
      </c>
      <c r="V595" s="84">
        <v>4.3999999999999997E-2</v>
      </c>
      <c r="W595" s="84">
        <v>4.3999999999999997E-2</v>
      </c>
      <c r="X595" s="84">
        <v>4.3999999999999997E-2</v>
      </c>
      <c r="Y595" s="84">
        <v>4.3999999999999997E-2</v>
      </c>
      <c r="Z595" s="84">
        <v>4.3999999999999997E-2</v>
      </c>
      <c r="AA595" s="84">
        <v>4.3999999999999997E-2</v>
      </c>
    </row>
    <row r="596" spans="1:27" hidden="1">
      <c r="A596" s="83" t="s">
        <v>22</v>
      </c>
      <c r="B596" s="84">
        <f>B595</f>
        <v>4.3999999999999997E-2</v>
      </c>
      <c r="C596" s="84">
        <f>(1+B596)*(1+C595)-1</f>
        <v>8.9936000000000016E-2</v>
      </c>
      <c r="D596" s="84">
        <f>(1+C596)*(1+D595)-1</f>
        <v>0.13789318400000017</v>
      </c>
      <c r="E596" s="84">
        <f t="shared" ref="E596" si="1759">(1+D596)*(1+E595)-1</f>
        <v>0.1879604840960003</v>
      </c>
      <c r="F596" s="84">
        <f t="shared" ref="F596" si="1760">(1+E596)*(1+F595)-1</f>
        <v>0.24023074539622447</v>
      </c>
      <c r="G596" s="84">
        <f t="shared" ref="G596" si="1761">(1+F596)*(1+G595)-1</f>
        <v>0.29480089819365829</v>
      </c>
      <c r="H596" s="84">
        <f t="shared" ref="H596" si="1762">(1+G596)*(1+H595)-1</f>
        <v>0.35177213771417937</v>
      </c>
      <c r="I596" s="84">
        <f t="shared" ref="I596" si="1763">(1+H596)*(1+I595)-1</f>
        <v>0.41125011177360338</v>
      </c>
      <c r="J596" s="84">
        <f t="shared" ref="J596" si="1764">(1+I596)*(1+J595)-1</f>
        <v>0.47334511669164203</v>
      </c>
      <c r="K596" s="84">
        <f t="shared" ref="K596" si="1765">(1+J596)*(1+K595)-1</f>
        <v>0.53817230182607423</v>
      </c>
      <c r="L596" s="84">
        <f t="shared" ref="L596" si="1766">(1+K596)*(1+L595)-1</f>
        <v>0.60585188310642146</v>
      </c>
      <c r="M596" s="84">
        <f t="shared" ref="M596" si="1767">(1+L596)*(1+M595)-1</f>
        <v>0.67650936596310407</v>
      </c>
      <c r="N596" s="84">
        <f t="shared" ref="N596" si="1768">(1+M596)*(1+N595)-1</f>
        <v>0.75027577806548074</v>
      </c>
      <c r="O596" s="84">
        <f t="shared" ref="O596" si="1769">(1+N596)*(1+O595)-1</f>
        <v>0.82728791230036203</v>
      </c>
      <c r="P596" s="84">
        <f t="shared" ref="P596" si="1770">(1+O596)*(1+P595)-1</f>
        <v>0.90768858044157796</v>
      </c>
      <c r="Q596" s="84">
        <f t="shared" ref="Q596" si="1771">(1+P596)*(1+Q595)-1</f>
        <v>0.99162687798100757</v>
      </c>
      <c r="R596" s="84">
        <f t="shared" ref="R596" si="1772">(1+Q596)*(1+R595)-1</f>
        <v>1.0792584606121718</v>
      </c>
      <c r="S596" s="84">
        <f t="shared" ref="S596" si="1773">(1+R596)*(1+S595)-1</f>
        <v>1.1707458328791076</v>
      </c>
      <c r="T596" s="84">
        <f t="shared" ref="T596" si="1774">(1+S596)*(1+T595)-1</f>
        <v>1.2662586495257884</v>
      </c>
      <c r="U596" s="84">
        <f t="shared" ref="U596" si="1775">(1+T596)*(1+U595)-1</f>
        <v>1.365974030104923</v>
      </c>
      <c r="V596" s="84">
        <f t="shared" ref="V596" si="1776">(1+U596)*(1+V595)-1</f>
        <v>1.4700768874295398</v>
      </c>
      <c r="W596" s="84">
        <f t="shared" ref="W596" si="1777">(1+V596)*(1+W595)-1</f>
        <v>1.5787602704764399</v>
      </c>
      <c r="X596" s="84">
        <f t="shared" ref="X596" si="1778">(1+W596)*(1+X595)-1</f>
        <v>1.6922257223774033</v>
      </c>
      <c r="Y596" s="84">
        <f t="shared" ref="Y596" si="1779">(1+X596)*(1+Y595)-1</f>
        <v>1.810683654162009</v>
      </c>
      <c r="Z596" s="84">
        <f t="shared" ref="Z596" si="1780">(1+Y596)*(1+Z595)-1</f>
        <v>1.9343537349451374</v>
      </c>
      <c r="AA596" s="84">
        <f t="shared" ref="AA596" si="1781">(1+Z596)*(1+AA595)-1</f>
        <v>2.0634652992827234</v>
      </c>
    </row>
    <row r="597" spans="1:27" ht="16.5" hidden="1" thickBot="1">
      <c r="A597" s="85" t="s">
        <v>23</v>
      </c>
      <c r="B597" s="86"/>
      <c r="C597" s="87">
        <f>B572*0.12*1.075</f>
        <v>347644.06779661012</v>
      </c>
      <c r="D597" s="87">
        <f>C597*(1+D595)</f>
        <v>362940.40677966096</v>
      </c>
      <c r="E597" s="87">
        <f t="shared" ref="E597" si="1782">D597*(1+E595)</f>
        <v>378909.78467796603</v>
      </c>
      <c r="F597" s="87">
        <f t="shared" ref="F597" si="1783">E597*(1+F595)</f>
        <v>395581.81520379655</v>
      </c>
      <c r="G597" s="87">
        <f t="shared" ref="G597" si="1784">F597*(1+G595)</f>
        <v>412987.41507276363</v>
      </c>
      <c r="H597" s="87">
        <f t="shared" ref="H597" si="1785">G597*(1+H595)</f>
        <v>431158.86133596522</v>
      </c>
      <c r="I597" s="87">
        <f t="shared" ref="I597" si="1786">H597*(1+I595)</f>
        <v>450129.85123474774</v>
      </c>
      <c r="J597" s="87">
        <f t="shared" ref="J597" si="1787">I597*(1+J595)</f>
        <v>469935.56468907668</v>
      </c>
      <c r="K597" s="87">
        <f t="shared" ref="K597" si="1788">J597*(1+K595)</f>
        <v>490612.72953539609</v>
      </c>
      <c r="L597" s="87">
        <f t="shared" ref="L597" si="1789">K597*(1+L595)</f>
        <v>512199.68963495357</v>
      </c>
      <c r="M597" s="87">
        <f t="shared" ref="M597" si="1790">L597*(1+M595)</f>
        <v>534736.4759788916</v>
      </c>
      <c r="N597" s="87">
        <f t="shared" ref="N597" si="1791">M597*(1+N595)</f>
        <v>558264.8809219629</v>
      </c>
      <c r="O597" s="87">
        <f t="shared" ref="O597" si="1792">N597*(1+O595)</f>
        <v>582828.53568252933</v>
      </c>
      <c r="P597" s="87">
        <f t="shared" ref="P597" si="1793">O597*(1+P595)</f>
        <v>608472.99125256063</v>
      </c>
      <c r="Q597" s="87">
        <f t="shared" ref="Q597" si="1794">P597*(1+Q595)</f>
        <v>635245.80286767334</v>
      </c>
      <c r="R597" s="87">
        <f t="shared" ref="R597" si="1795">Q597*(1+R595)</f>
        <v>663196.61819385097</v>
      </c>
      <c r="S597" s="87">
        <f t="shared" ref="S597" si="1796">R597*(1+S595)</f>
        <v>692377.26939438039</v>
      </c>
      <c r="T597" s="87">
        <f t="shared" ref="T597" si="1797">S597*(1+T595)</f>
        <v>722841.86924773315</v>
      </c>
      <c r="U597" s="87">
        <f t="shared" ref="U597" si="1798">T597*(1+U595)</f>
        <v>754646.91149463342</v>
      </c>
      <c r="V597" s="87">
        <f t="shared" ref="V597" si="1799">U597*(1+V595)</f>
        <v>787851.37560039735</v>
      </c>
      <c r="W597" s="87">
        <f t="shared" ref="W597" si="1800">V597*(1+W595)</f>
        <v>822516.83612681483</v>
      </c>
      <c r="X597" s="87">
        <f t="shared" ref="X597" si="1801">W597*(1+X595)</f>
        <v>858707.57691639476</v>
      </c>
      <c r="Y597" s="87">
        <f t="shared" ref="Y597" si="1802">X597*(1+Y595)</f>
        <v>896490.71030071611</v>
      </c>
      <c r="Z597" s="87">
        <f t="shared" ref="Z597" si="1803">Y597*(1+Z595)</f>
        <v>935936.30155394762</v>
      </c>
      <c r="AA597" s="87">
        <f t="shared" ref="AA597" si="1804">Z597*(1+AA595)</f>
        <v>977117.4988223213</v>
      </c>
    </row>
    <row r="598" spans="1:27" ht="16.5" hidden="1" thickBot="1"/>
    <row r="599" spans="1:27" ht="47.25" hidden="1">
      <c r="A599" s="88" t="s">
        <v>24</v>
      </c>
      <c r="B599" s="78" t="s">
        <v>553</v>
      </c>
      <c r="C599" s="79">
        <f>C594</f>
        <v>2017</v>
      </c>
      <c r="D599" s="80">
        <f t="shared" ref="D599" si="1805">C599+1</f>
        <v>2018</v>
      </c>
      <c r="E599" s="80">
        <f t="shared" ref="E599" si="1806">D599+1</f>
        <v>2019</v>
      </c>
      <c r="F599" s="80">
        <f t="shared" ref="F599" si="1807">E599+1</f>
        <v>2020</v>
      </c>
      <c r="G599" s="80">
        <f t="shared" ref="G599" si="1808">F599+1</f>
        <v>2021</v>
      </c>
      <c r="H599" s="80">
        <f t="shared" ref="H599" si="1809">G599+1</f>
        <v>2022</v>
      </c>
      <c r="I599" s="80">
        <f t="shared" ref="I599" si="1810">H599+1</f>
        <v>2023</v>
      </c>
      <c r="J599" s="80">
        <f t="shared" ref="J599" si="1811">I599+1</f>
        <v>2024</v>
      </c>
      <c r="K599" s="80">
        <f t="shared" ref="K599" si="1812">J599+1</f>
        <v>2025</v>
      </c>
      <c r="L599" s="80">
        <f t="shared" ref="L599" si="1813">K599+1</f>
        <v>2026</v>
      </c>
      <c r="M599" s="80">
        <f t="shared" ref="M599" si="1814">L599+1</f>
        <v>2027</v>
      </c>
      <c r="N599" s="80">
        <f t="shared" ref="N599" si="1815">M599+1</f>
        <v>2028</v>
      </c>
      <c r="O599" s="80">
        <f t="shared" ref="O599" si="1816">N599+1</f>
        <v>2029</v>
      </c>
      <c r="P599" s="80">
        <f t="shared" ref="P599" si="1817">O599+1</f>
        <v>2030</v>
      </c>
      <c r="Q599" s="80">
        <f t="shared" ref="Q599" si="1818">P599+1</f>
        <v>2031</v>
      </c>
      <c r="R599" s="80">
        <f t="shared" ref="R599" si="1819">Q599+1</f>
        <v>2032</v>
      </c>
      <c r="S599" s="80">
        <f t="shared" ref="S599" si="1820">R599+1</f>
        <v>2033</v>
      </c>
      <c r="T599" s="80">
        <f t="shared" ref="T599" si="1821">S599+1</f>
        <v>2034</v>
      </c>
      <c r="U599" s="80">
        <f t="shared" ref="U599" si="1822">T599+1</f>
        <v>2035</v>
      </c>
      <c r="V599" s="80">
        <f t="shared" ref="V599" si="1823">U599+1</f>
        <v>2036</v>
      </c>
      <c r="W599" s="80">
        <f t="shared" ref="W599" si="1824">V599+1</f>
        <v>2037</v>
      </c>
      <c r="X599" s="80">
        <f t="shared" ref="X599" si="1825">W599+1</f>
        <v>2038</v>
      </c>
      <c r="Y599" s="80">
        <f t="shared" ref="Y599" si="1826">X599+1</f>
        <v>2039</v>
      </c>
      <c r="Z599" s="80">
        <f t="shared" ref="Z599" si="1827">Y599+1</f>
        <v>2040</v>
      </c>
      <c r="AA599" s="80">
        <f t="shared" ref="AA599" si="1828">Z599+1</f>
        <v>2041</v>
      </c>
    </row>
    <row r="600" spans="1:27" hidden="1">
      <c r="A600" s="89" t="s">
        <v>25</v>
      </c>
      <c r="B600" s="90">
        <v>0</v>
      </c>
      <c r="C600" s="90">
        <f t="shared" ref="C600" si="1829">B600+B601-B602</f>
        <v>0</v>
      </c>
      <c r="D600" s="90">
        <f>C600+C601-C602</f>
        <v>0</v>
      </c>
      <c r="E600" s="90">
        <f>D600+D601-D602</f>
        <v>0</v>
      </c>
      <c r="F600" s="90">
        <f t="shared" ref="F600" si="1830">E600+E601-E602</f>
        <v>0</v>
      </c>
      <c r="G600" s="90">
        <f t="shared" ref="G600" si="1831">F600+F601-F602</f>
        <v>0</v>
      </c>
      <c r="H600" s="90">
        <f t="shared" ref="H600" si="1832">G600+G601-G602</f>
        <v>0</v>
      </c>
      <c r="I600" s="90">
        <f>H600+H601-H602</f>
        <v>0</v>
      </c>
      <c r="J600" s="90">
        <f t="shared" ref="J600" si="1833">I600+I601-I602</f>
        <v>0</v>
      </c>
      <c r="K600" s="90">
        <f t="shared" ref="K600" si="1834">J600+J601-J602</f>
        <v>0</v>
      </c>
      <c r="L600" s="90">
        <f t="shared" ref="L600" si="1835">K600+K601-K602</f>
        <v>0</v>
      </c>
      <c r="M600" s="90">
        <f>L600+L601-L602</f>
        <v>0</v>
      </c>
      <c r="N600" s="90">
        <f t="shared" ref="N600" si="1836">M600+M601-M602</f>
        <v>0</v>
      </c>
      <c r="O600" s="90">
        <f t="shared" ref="O600" si="1837">N600+N601-N602</f>
        <v>0</v>
      </c>
      <c r="P600" s="90">
        <f t="shared" ref="P600" si="1838">O600+O601-O602</f>
        <v>0</v>
      </c>
      <c r="Q600" s="90">
        <f t="shared" ref="Q600" si="1839">P600+P601-P602</f>
        <v>0</v>
      </c>
      <c r="R600" s="344">
        <f t="shared" ref="R600" si="1840">Q600+Q601-Q602</f>
        <v>0</v>
      </c>
      <c r="S600" s="344">
        <f t="shared" ref="S600" si="1841">R600+R601-R602</f>
        <v>0</v>
      </c>
      <c r="T600" s="344">
        <f t="shared" ref="T600" si="1842">S600+S601-S602</f>
        <v>0</v>
      </c>
      <c r="U600" s="344">
        <f t="shared" ref="U600" si="1843">T600+T601-T602</f>
        <v>0</v>
      </c>
      <c r="V600" s="344">
        <f t="shared" ref="V600" si="1844">U600+U601-U602</f>
        <v>0</v>
      </c>
      <c r="W600" s="344">
        <f t="shared" ref="W600" si="1845">V600+V601-V602</f>
        <v>0</v>
      </c>
      <c r="X600" s="344">
        <f t="shared" ref="X600" si="1846">W600+W601-W602</f>
        <v>0</v>
      </c>
      <c r="Y600" s="344">
        <f t="shared" ref="Y600" si="1847">X600+X601-X602</f>
        <v>0</v>
      </c>
      <c r="Z600" s="344">
        <f t="shared" ref="Z600" si="1848">Y600+Y601-Y602</f>
        <v>0</v>
      </c>
      <c r="AA600" s="344">
        <f t="shared" ref="AA600" si="1849">Z600+Z601-Z602</f>
        <v>0</v>
      </c>
    </row>
    <row r="601" spans="1:27" hidden="1">
      <c r="A601" s="89" t="s">
        <v>26</v>
      </c>
      <c r="B601" s="596">
        <v>0</v>
      </c>
      <c r="C601" s="596">
        <v>0</v>
      </c>
      <c r="D601" s="596">
        <v>0</v>
      </c>
      <c r="E601" s="596">
        <v>0</v>
      </c>
      <c r="F601" s="596">
        <v>0</v>
      </c>
      <c r="G601" s="90">
        <v>0</v>
      </c>
      <c r="H601" s="124">
        <v>0</v>
      </c>
      <c r="I601" s="124">
        <v>0</v>
      </c>
      <c r="J601" s="124">
        <v>0</v>
      </c>
      <c r="K601" s="124">
        <v>0</v>
      </c>
      <c r="L601" s="124">
        <v>0</v>
      </c>
      <c r="M601" s="124">
        <v>0</v>
      </c>
      <c r="N601" s="124">
        <v>0</v>
      </c>
      <c r="O601" s="124">
        <v>0</v>
      </c>
      <c r="P601" s="124">
        <v>0</v>
      </c>
      <c r="Q601" s="124">
        <v>0</v>
      </c>
      <c r="R601" s="344">
        <v>0</v>
      </c>
      <c r="S601" s="344">
        <v>0</v>
      </c>
      <c r="T601" s="344">
        <v>0</v>
      </c>
      <c r="U601" s="344">
        <v>0</v>
      </c>
      <c r="V601" s="344">
        <v>0</v>
      </c>
      <c r="W601" s="344">
        <v>0</v>
      </c>
      <c r="X601" s="344">
        <v>0</v>
      </c>
      <c r="Y601" s="344">
        <v>0</v>
      </c>
      <c r="Z601" s="344">
        <v>0</v>
      </c>
      <c r="AA601" s="344">
        <v>0</v>
      </c>
    </row>
    <row r="602" spans="1:27" hidden="1">
      <c r="A602" s="83" t="s">
        <v>27</v>
      </c>
      <c r="B602" s="124">
        <v>0</v>
      </c>
      <c r="C602" s="124">
        <v>0</v>
      </c>
      <c r="D602" s="124">
        <v>0</v>
      </c>
      <c r="E602" s="124"/>
      <c r="F602" s="90"/>
      <c r="G602" s="124">
        <f>G600/7</f>
        <v>0</v>
      </c>
      <c r="H602" s="90">
        <f>IF(ROUND(H600,1)=0,0,G602+H601/$B$30)</f>
        <v>0</v>
      </c>
      <c r="I602" s="90">
        <f>IF(ROUND(I600,1)=0,0,H602+I601/$B$30)</f>
        <v>0</v>
      </c>
      <c r="J602" s="90">
        <f>IF(ROUND(J600,1)=0,0,I602+J601/B587)</f>
        <v>0</v>
      </c>
      <c r="K602" s="90">
        <f>IF(ROUND(K600,1)=0,0,J602+K601/B587)</f>
        <v>0</v>
      </c>
      <c r="L602" s="90">
        <f>IF(ROUND(L600,1)=0,0,K602+L601/B587)</f>
        <v>0</v>
      </c>
      <c r="M602" s="90">
        <f>IF(ROUND(M600,1)=0,0,L602+M601/B587)</f>
        <v>0</v>
      </c>
      <c r="N602" s="90">
        <f>IF(ROUND(N600,1)=0,0,M602+N601/B587)</f>
        <v>0</v>
      </c>
      <c r="O602" s="90">
        <f>IF(ROUND(O600,1)=0,0,N602+O601/B587)</f>
        <v>0</v>
      </c>
      <c r="P602" s="90">
        <f>IF(ROUND(P600,1)=0,0,O602+P601/B587)</f>
        <v>0</v>
      </c>
      <c r="Q602" s="90">
        <f>IF(ROUND(Q600,1)=0,0,P602+Q601/B587)</f>
        <v>0</v>
      </c>
      <c r="R602" s="344">
        <f>IF(ROUND(R600,1)=0,0,Q602+R601/B587)</f>
        <v>0</v>
      </c>
      <c r="S602" s="344">
        <f>IF(ROUND(S600,1)=0,0,R602+S601/B587)</f>
        <v>0</v>
      </c>
      <c r="T602" s="344">
        <f>IF(ROUND(T600,1)=0,0,S602+T601/B587)</f>
        <v>0</v>
      </c>
      <c r="U602" s="344">
        <f>IF(ROUND(U600,1)=0,0,T602+U601/B587)</f>
        <v>0</v>
      </c>
      <c r="V602" s="344">
        <f>IF(ROUND(V600,1)=0,0,U602+V601/B587)</f>
        <v>0</v>
      </c>
      <c r="W602" s="344">
        <f>IF(ROUND(W600,1)=0,0,V602+W601/B587)</f>
        <v>0</v>
      </c>
      <c r="X602" s="344">
        <f>IF(ROUND(X600,1)=0,0,W602+X601/B587)</f>
        <v>0</v>
      </c>
      <c r="Y602" s="344">
        <f>IF(ROUND(Y600,1)=0,0,X602+Y601/B587)</f>
        <v>0</v>
      </c>
      <c r="Z602" s="344">
        <f>IF(ROUND(Z600,1)=0,0,Y602+Z601/B587)</f>
        <v>0</v>
      </c>
      <c r="AA602" s="344">
        <f>IF(ROUND(AA600,1)=0,0,Z602+AA601/B587)</f>
        <v>0</v>
      </c>
    </row>
    <row r="603" spans="1:27" ht="16.5" hidden="1" thickBot="1">
      <c r="A603" s="85" t="s">
        <v>28</v>
      </c>
      <c r="B603" s="91">
        <f>AVERAGE(SUM(B600:B601),(SUM(B600:B601)-B602))*B589</f>
        <v>0</v>
      </c>
      <c r="C603" s="91">
        <f>AVERAGE(SUM(C600:C601),(SUM(C600:C601)-C602))*B589</f>
        <v>0</v>
      </c>
      <c r="D603" s="91">
        <f>AVERAGE(SUM(D600:D601),(SUM(D600:D601)-D602))*B589</f>
        <v>0</v>
      </c>
      <c r="E603" s="91">
        <f>AVERAGE(SUM(E600:E601),(SUM(E600:E601)-E602))*B589</f>
        <v>0</v>
      </c>
      <c r="F603" s="91">
        <f>AVERAGE(SUM(F600:F601),(SUM(F600:F601)-F602))*B589</f>
        <v>0</v>
      </c>
      <c r="G603" s="91">
        <f>AVERAGE(SUM(G600:G601),(SUM(G600:G601)-G602))*B589</f>
        <v>0</v>
      </c>
      <c r="H603" s="91">
        <f>AVERAGE(SUM(H600:H601),(SUM(H600:H601)-H602))*B589</f>
        <v>0</v>
      </c>
      <c r="I603" s="91">
        <f>AVERAGE(SUM(I600:I601),(SUM(I600:I601)-I602))*B589</f>
        <v>0</v>
      </c>
      <c r="J603" s="91">
        <f>AVERAGE(SUM(J600:J601),(SUM(J600:J601)-J602))*B589</f>
        <v>0</v>
      </c>
      <c r="K603" s="91">
        <f>AVERAGE(SUM(K600:K601),(SUM(K600:K601)-K602))*B589</f>
        <v>0</v>
      </c>
      <c r="L603" s="91">
        <f>AVERAGE(SUM(L600:L601),(SUM(L600:L601)-L602))*B589</f>
        <v>0</v>
      </c>
      <c r="M603" s="91">
        <f>AVERAGE(SUM(M600:M601),(SUM(M600:M601)-M602))*B589</f>
        <v>0</v>
      </c>
      <c r="N603" s="91">
        <f>AVERAGE(SUM(N600:N601),(SUM(N600:N601)-N602))*B589</f>
        <v>0</v>
      </c>
      <c r="O603" s="91">
        <f>AVERAGE(SUM(O600:O601),(SUM(O600:O601)-O602))*B589</f>
        <v>0</v>
      </c>
      <c r="P603" s="91">
        <f>AVERAGE(SUM(P600:P601),(SUM(P600:P601)-P602))*B589</f>
        <v>0</v>
      </c>
      <c r="Q603" s="91">
        <f>AVERAGE(SUM(Q600:Q601),(SUM(Q600:Q601)-Q602))*B589</f>
        <v>0</v>
      </c>
      <c r="R603" s="345">
        <f>AVERAGE(SUM(R600:R601),(SUM(R600:R601)-R602))*B589</f>
        <v>0</v>
      </c>
      <c r="S603" s="345">
        <f>AVERAGE(SUM(S600:S601),(SUM(S600:S601)-S602))*B589</f>
        <v>0</v>
      </c>
      <c r="T603" s="345">
        <f>AVERAGE(SUM(T600:T601),(SUM(T600:T601)-T602))*B589</f>
        <v>0</v>
      </c>
      <c r="U603" s="345">
        <f>AVERAGE(SUM(U600:U601),(SUM(U600:U601)-U602))*B589</f>
        <v>0</v>
      </c>
      <c r="V603" s="345">
        <f>AVERAGE(SUM(V600:V601),(SUM(V600:V601)-V602))*B589</f>
        <v>0</v>
      </c>
      <c r="W603" s="345">
        <f>AVERAGE(SUM(W600:W601),(SUM(W600:W601)-W602))*B589</f>
        <v>0</v>
      </c>
      <c r="X603" s="345">
        <f>AVERAGE(SUM(X600:X601),(SUM(X600:X601)-X602))*B589</f>
        <v>0</v>
      </c>
      <c r="Y603" s="345">
        <f>AVERAGE(SUM(Y600:Y601),(SUM(Y600:Y601)-Y602))*B589</f>
        <v>0</v>
      </c>
      <c r="Z603" s="345">
        <f>AVERAGE(SUM(Z600:Z601),(SUM(Z600:Z601)-Z602))*B589</f>
        <v>0</v>
      </c>
      <c r="AA603" s="345">
        <f>AVERAGE(SUM(AA600:AA601),(SUM(AA600:AA601)-AA602))*B589</f>
        <v>0</v>
      </c>
    </row>
    <row r="604" spans="1:27" ht="16.5" hidden="1" thickBot="1">
      <c r="A604" s="92"/>
      <c r="B604" s="93"/>
      <c r="C604" s="93"/>
      <c r="D604" s="93"/>
      <c r="E604" s="93"/>
      <c r="F604" s="93"/>
      <c r="G604" s="93"/>
      <c r="H604" s="93"/>
      <c r="I604" s="93"/>
      <c r="J604" s="93"/>
      <c r="K604" s="93"/>
      <c r="L604" s="93"/>
      <c r="M604" s="93"/>
      <c r="N604" s="93"/>
      <c r="O604" s="93"/>
      <c r="P604" s="93"/>
      <c r="Q604" s="93"/>
      <c r="R604" s="93"/>
      <c r="S604" s="93"/>
      <c r="T604" s="93"/>
      <c r="U604" s="93"/>
      <c r="V604" s="93"/>
      <c r="W604" s="93"/>
      <c r="X604" s="93"/>
      <c r="Y604" s="93"/>
      <c r="Z604" s="93"/>
      <c r="AA604" s="93"/>
    </row>
    <row r="605" spans="1:27" ht="47.25" hidden="1">
      <c r="A605" s="88" t="s">
        <v>29</v>
      </c>
      <c r="B605" s="78" t="s">
        <v>553</v>
      </c>
      <c r="C605" s="79">
        <f>C599</f>
        <v>2017</v>
      </c>
      <c r="D605" s="80">
        <f t="shared" ref="D605" si="1850">C605+1</f>
        <v>2018</v>
      </c>
      <c r="E605" s="80">
        <f t="shared" ref="E605" si="1851">D605+1</f>
        <v>2019</v>
      </c>
      <c r="F605" s="80">
        <f t="shared" ref="F605" si="1852">E605+1</f>
        <v>2020</v>
      </c>
      <c r="G605" s="80">
        <f t="shared" ref="G605" si="1853">F605+1</f>
        <v>2021</v>
      </c>
      <c r="H605" s="80">
        <f t="shared" ref="H605" si="1854">G605+1</f>
        <v>2022</v>
      </c>
      <c r="I605" s="80">
        <f t="shared" ref="I605" si="1855">H605+1</f>
        <v>2023</v>
      </c>
      <c r="J605" s="80">
        <f t="shared" ref="J605" si="1856">I605+1</f>
        <v>2024</v>
      </c>
      <c r="K605" s="80">
        <f t="shared" ref="K605" si="1857">J605+1</f>
        <v>2025</v>
      </c>
      <c r="L605" s="80">
        <f t="shared" ref="L605" si="1858">K605+1</f>
        <v>2026</v>
      </c>
      <c r="M605" s="80">
        <f t="shared" ref="M605" si="1859">L605+1</f>
        <v>2027</v>
      </c>
      <c r="N605" s="80">
        <f t="shared" ref="N605" si="1860">M605+1</f>
        <v>2028</v>
      </c>
      <c r="O605" s="80">
        <f t="shared" ref="O605" si="1861">N605+1</f>
        <v>2029</v>
      </c>
      <c r="P605" s="80">
        <f t="shared" ref="P605" si="1862">O605+1</f>
        <v>2030</v>
      </c>
      <c r="Q605" s="80">
        <f t="shared" ref="Q605" si="1863">P605+1</f>
        <v>2031</v>
      </c>
      <c r="R605" s="80">
        <f t="shared" ref="R605" si="1864">Q605+1</f>
        <v>2032</v>
      </c>
      <c r="S605" s="80">
        <f t="shared" ref="S605" si="1865">R605+1</f>
        <v>2033</v>
      </c>
      <c r="T605" s="80">
        <f t="shared" ref="T605" si="1866">S605+1</f>
        <v>2034</v>
      </c>
      <c r="U605" s="80">
        <f t="shared" ref="U605" si="1867">T605+1</f>
        <v>2035</v>
      </c>
      <c r="V605" s="80">
        <f t="shared" ref="V605" si="1868">U605+1</f>
        <v>2036</v>
      </c>
      <c r="W605" s="80">
        <f t="shared" ref="W605" si="1869">V605+1</f>
        <v>2037</v>
      </c>
      <c r="X605" s="80">
        <f t="shared" ref="X605" si="1870">W605+1</f>
        <v>2038</v>
      </c>
      <c r="Y605" s="80">
        <f t="shared" ref="Y605" si="1871">X605+1</f>
        <v>2039</v>
      </c>
      <c r="Z605" s="80">
        <f t="shared" ref="Z605" si="1872">Y605+1</f>
        <v>2040</v>
      </c>
      <c r="AA605" s="80">
        <f t="shared" ref="AA605" si="1873">Z605+1</f>
        <v>2041</v>
      </c>
    </row>
    <row r="606" spans="1:27" hidden="1">
      <c r="A606" s="94" t="s">
        <v>30</v>
      </c>
      <c r="B606" s="95"/>
      <c r="C606" s="95">
        <f>C597*B575</f>
        <v>347644.06779661012</v>
      </c>
      <c r="D606" s="95">
        <f>D597*B575</f>
        <v>362940.40677966096</v>
      </c>
      <c r="E606" s="95">
        <f>E597*B575</f>
        <v>378909.78467796603</v>
      </c>
      <c r="F606" s="95">
        <f>F597*B575</f>
        <v>395581.81520379655</v>
      </c>
      <c r="G606" s="95">
        <f>G597*B575</f>
        <v>412987.41507276363</v>
      </c>
      <c r="H606" s="95">
        <f>H597*B575</f>
        <v>431158.86133596522</v>
      </c>
      <c r="I606" s="95">
        <f>I597*B575</f>
        <v>450129.85123474774</v>
      </c>
      <c r="J606" s="95">
        <f>J597*B575</f>
        <v>469935.56468907668</v>
      </c>
      <c r="K606" s="95">
        <f>K597*B575</f>
        <v>490612.72953539609</v>
      </c>
      <c r="L606" s="95">
        <f>L597*B575</f>
        <v>512199.68963495357</v>
      </c>
      <c r="M606" s="95">
        <f>M597*B575</f>
        <v>534736.4759788916</v>
      </c>
      <c r="N606" s="95">
        <f>N597*B575</f>
        <v>558264.8809219629</v>
      </c>
      <c r="O606" s="95">
        <f>O597*B575</f>
        <v>582828.53568252933</v>
      </c>
      <c r="P606" s="95">
        <f>P597*B575</f>
        <v>608472.99125256063</v>
      </c>
      <c r="Q606" s="95">
        <f>Q597*B575</f>
        <v>635245.80286767334</v>
      </c>
      <c r="R606" s="95">
        <f>R597*B575</f>
        <v>663196.61819385097</v>
      </c>
      <c r="S606" s="95">
        <f>S597*B575</f>
        <v>692377.26939438039</v>
      </c>
      <c r="T606" s="95">
        <f>T597*B575</f>
        <v>722841.86924773315</v>
      </c>
      <c r="U606" s="95">
        <f>U597*B575</f>
        <v>754646.91149463342</v>
      </c>
      <c r="V606" s="95">
        <f>V597*B575</f>
        <v>787851.37560039735</v>
      </c>
      <c r="W606" s="95">
        <f>W597*B575</f>
        <v>822516.83612681483</v>
      </c>
      <c r="X606" s="95">
        <f>X597*B575</f>
        <v>858707.57691639476</v>
      </c>
      <c r="Y606" s="95">
        <f>Y597*B575</f>
        <v>896490.71030071611</v>
      </c>
      <c r="Z606" s="95">
        <f>Z597*B575</f>
        <v>935936.30155394762</v>
      </c>
      <c r="AA606" s="95">
        <f>AA597*B575</f>
        <v>977117.4988223213</v>
      </c>
    </row>
    <row r="607" spans="1:27" hidden="1">
      <c r="A607" s="89" t="s">
        <v>31</v>
      </c>
      <c r="B607" s="96"/>
      <c r="C607" s="96">
        <f>SUM(C608:C613)</f>
        <v>-70684.034425084756</v>
      </c>
      <c r="D607" s="96">
        <f t="shared" ref="D607:AA607" si="1874">SUM(D608:D613)</f>
        <v>-69295.161523449497</v>
      </c>
      <c r="E607" s="96">
        <f t="shared" si="1874"/>
        <v>-67932.134146345692</v>
      </c>
      <c r="F607" s="96">
        <f t="shared" si="1874"/>
        <v>-66596.089496852699</v>
      </c>
      <c r="G607" s="96">
        <f t="shared" si="1874"/>
        <v>-65288.214814985404</v>
      </c>
      <c r="H607" s="96">
        <f t="shared" si="1874"/>
        <v>-64009.749579319337</v>
      </c>
      <c r="I607" s="96">
        <f t="shared" si="1874"/>
        <v>-62761.987805487348</v>
      </c>
      <c r="J607" s="96">
        <f t="shared" si="1874"/>
        <v>-61546.280445810145</v>
      </c>
      <c r="K607" s="96">
        <f t="shared" si="1874"/>
        <v>-60364.03789451054</v>
      </c>
      <c r="L607" s="96">
        <f t="shared" si="1874"/>
        <v>-59216.732603157136</v>
      </c>
      <c r="M607" s="96">
        <f t="shared" si="1874"/>
        <v>-58105.901811187578</v>
      </c>
      <c r="N607" s="96">
        <f t="shared" si="1874"/>
        <v>-57033.150396574754</v>
      </c>
      <c r="O607" s="96">
        <f t="shared" si="1874"/>
        <v>-56000.153851922347</v>
      </c>
      <c r="P607" s="96">
        <f t="shared" si="1874"/>
        <v>-55008.661391508627</v>
      </c>
      <c r="Q607" s="96">
        <f t="shared" si="1874"/>
        <v>-54060.499195040087</v>
      </c>
      <c r="R607" s="96">
        <f t="shared" si="1874"/>
        <v>-53157.573794130323</v>
      </c>
      <c r="S607" s="96">
        <f t="shared" si="1874"/>
        <v>-54278.146794224609</v>
      </c>
      <c r="T607" s="96">
        <f t="shared" si="1874"/>
        <v>-55448.025006323034</v>
      </c>
      <c r="U607" s="96">
        <f t="shared" si="1874"/>
        <v>-56669.377859753789</v>
      </c>
      <c r="V607" s="96">
        <f t="shared" si="1874"/>
        <v>-57944.470238735499</v>
      </c>
      <c r="W607" s="96">
        <f t="shared" si="1874"/>
        <v>-59275.666682392402</v>
      </c>
      <c r="X607" s="96">
        <f t="shared" si="1874"/>
        <v>-60665.43576957022</v>
      </c>
      <c r="Y607" s="96">
        <f t="shared" si="1874"/>
        <v>-62116.354696583847</v>
      </c>
      <c r="Z607" s="96">
        <f t="shared" si="1874"/>
        <v>-63631.114056386075</v>
      </c>
      <c r="AA607" s="96">
        <f t="shared" si="1874"/>
        <v>-65212.52282801961</v>
      </c>
    </row>
    <row r="608" spans="1:27" hidden="1">
      <c r="A608" s="97" t="s">
        <v>32</v>
      </c>
      <c r="B608" s="96"/>
      <c r="C608" s="96">
        <f>-IF(C594&lt;=B577,0,B576*(1+C596)*B575)</f>
        <v>-12248.479086101697</v>
      </c>
      <c r="D608" s="96">
        <f>-IF(D594&lt;=B577,0,B576*(1+D596)*B575)</f>
        <v>-12787.412165890173</v>
      </c>
      <c r="E608" s="96">
        <f>-IF(E594&lt;=B577,0,B576*(1+E596)*B575)</f>
        <v>-13350.058301189341</v>
      </c>
      <c r="F608" s="96">
        <f>-IF(F594&lt;=B577,0,B576*(1+F596)*B575)</f>
        <v>-13937.460866441676</v>
      </c>
      <c r="G608" s="96">
        <f>-IF(G594&lt;=B577,0,B576*(1+G596)*B575)</f>
        <v>-14550.709144565108</v>
      </c>
      <c r="H608" s="96">
        <f>-IF(H594&lt;=B577,0,B576*(1+H596)*B575)</f>
        <v>-15190.940346925974</v>
      </c>
      <c r="I608" s="96">
        <f>-IF(I594&lt;=B577,0,B576*(1+I596)*B575)</f>
        <v>-15859.341722190718</v>
      </c>
      <c r="J608" s="96">
        <f>-IF(J594&lt;=B577,0,B576*(1+J596)*B575)</f>
        <v>-16557.152757967109</v>
      </c>
      <c r="K608" s="96">
        <f>-IF(K594&lt;=B577,0,B576*(1+K596)*B575)</f>
        <v>-17285.667479317664</v>
      </c>
      <c r="L608" s="96">
        <f>-IF(L594&lt;=B577,0,B576*(1+L596)*B575)</f>
        <v>-18046.23684840764</v>
      </c>
      <c r="M608" s="96">
        <f>-IF(M594&lt;=B577,0,B576*(1+M596)*B575)</f>
        <v>-18840.271269737575</v>
      </c>
      <c r="N608" s="96">
        <f>-IF(N594&lt;=B577,0,B576*(1+N596)*B575)</f>
        <v>-19669.243205606032</v>
      </c>
      <c r="O608" s="96">
        <f>-IF(O594&lt;=B577,0,B576*(1+O596)*B575)</f>
        <v>-20534.689906652697</v>
      </c>
      <c r="P608" s="96">
        <f>-IF(P594&lt;=B577,0,B576*(1+P596)*B575)</f>
        <v>-21438.216262545418</v>
      </c>
      <c r="Q608" s="96">
        <f>-IF(Q594&lt;=B577,0,B576*(1+Q596)*B575)</f>
        <v>-22381.497778097419</v>
      </c>
      <c r="R608" s="96">
        <f>-IF(R594&lt;=B577,0,B576*(1+R596)*B575)</f>
        <v>-23366.283680333701</v>
      </c>
      <c r="S608" s="96">
        <f>-IF(S594&lt;=B577,0,B576*(1+S596)*B575)</f>
        <v>-24394.400162268386</v>
      </c>
      <c r="T608" s="96">
        <f>-IF(T594&lt;=B577,0,B576*(1+T596)*B575)</f>
        <v>-25467.753769408198</v>
      </c>
      <c r="U608" s="96">
        <f>-IF(U594&lt;=B577,0,B576*(1+U596)*B575)</f>
        <v>-26588.334935262159</v>
      </c>
      <c r="V608" s="96">
        <f>-IF(V594&lt;=B577,0,B576*(1+V596)*B575)</f>
        <v>-27758.221672413696</v>
      </c>
      <c r="W608" s="96">
        <f>-IF(W594&lt;=B577,0,B576*(1+W596)*B575)</f>
        <v>-28979.583425999899</v>
      </c>
      <c r="X608" s="96">
        <f>-IF(X594&lt;=B577,0,B576*(1+X596)*B575)</f>
        <v>-30254.685096743899</v>
      </c>
      <c r="Y608" s="96">
        <f>-IF(Y594&lt;=B577,0,B576*(1+Y596)*B575)</f>
        <v>-31585.891241000627</v>
      </c>
      <c r="Z608" s="96">
        <f>-IF(Z594&lt;=B577,0,B576*(1+Z596)*B575)</f>
        <v>-32975.670455604653</v>
      </c>
      <c r="AA608" s="96">
        <f>-IF(AA594&lt;=B577,0,B576*(1+AA596)*B575)</f>
        <v>-34426.599955651262</v>
      </c>
    </row>
    <row r="609" spans="1:27" hidden="1">
      <c r="A609" s="97" t="str">
        <f>A579</f>
        <v>Прочие расходы при эксплуатации объекта, руб. без НДС</v>
      </c>
      <c r="B609" s="96"/>
      <c r="C609" s="96">
        <f>-IF(C594&lt;=B580,0,B579*(1+C596)*B575)</f>
        <v>-1101.48193220339</v>
      </c>
      <c r="D609" s="96">
        <f>-IF(D594&lt;=B580,0,B579*(1+D596)*B575)</f>
        <v>-1149.9471372203393</v>
      </c>
      <c r="E609" s="96">
        <f>-IF(E594&lt;=B580,0,B579*(1+E596)*B575)</f>
        <v>-1200.5448112580343</v>
      </c>
      <c r="F609" s="96">
        <f>-IF(F594&lt;=B580,0,B579*(1+F596)*B575)</f>
        <v>-1253.3687829533878</v>
      </c>
      <c r="G609" s="96">
        <f>-IF(G594&lt;=B580,0,B579*(1+G596)*B575)</f>
        <v>-1308.5170094033369</v>
      </c>
      <c r="H609" s="96">
        <f>-IF(H594&lt;=B580,0,B579*(1+H596)*B575)</f>
        <v>-1366.0917578170838</v>
      </c>
      <c r="I609" s="96">
        <f>-IF(I594&lt;=B580,0,B579*(1+I596)*B575)</f>
        <v>-1426.1997951610356</v>
      </c>
      <c r="J609" s="96">
        <f>-IF(J594&lt;=B580,0,B579*(1+J596)*B575)</f>
        <v>-1488.9525861481213</v>
      </c>
      <c r="K609" s="96">
        <f>-IF(K594&lt;=B580,0,B579*(1+K596)*B575)</f>
        <v>-1554.4664999386387</v>
      </c>
      <c r="L609" s="96">
        <f>-IF(L594&lt;=B580,0,B579*(1+L596)*B575)</f>
        <v>-1622.8630259359386</v>
      </c>
      <c r="M609" s="96">
        <f>-IF(M594&lt;=B580,0,B579*(1+M596)*B575)</f>
        <v>-1694.26899907712</v>
      </c>
      <c r="N609" s="96">
        <f>-IF(N594&lt;=B580,0,B579*(1+N596)*B575)</f>
        <v>-1768.8168350365133</v>
      </c>
      <c r="O609" s="96">
        <f>-IF(O594&lt;=B580,0,B579*(1+O596)*B575)</f>
        <v>-1846.6447757781202</v>
      </c>
      <c r="P609" s="96">
        <f>-IF(P594&lt;=B580,0,B579*(1+P596)*B575)</f>
        <v>-1927.8971459123575</v>
      </c>
      <c r="Q609" s="96">
        <f>-IF(Q594&lt;=B580,0,B579*(1+Q596)*B575)</f>
        <v>-2012.7246203325014</v>
      </c>
      <c r="R609" s="96">
        <f>-IF(R594&lt;=B580,0,B579*(1+R596)*B575)</f>
        <v>-2101.2845036271315</v>
      </c>
      <c r="S609" s="96">
        <f>-IF(S594&lt;=B580,0,B579*(1+S596)*B575)</f>
        <v>-2193.7410217867255</v>
      </c>
      <c r="T609" s="96">
        <f>-IF(T594&lt;=B580,0,B579*(1+T596)*B575)</f>
        <v>-2290.2656267453413</v>
      </c>
      <c r="U609" s="96">
        <f>-IF(U594&lt;=B580,0,B579*(1+U596)*B575)</f>
        <v>-2391.0373143221364</v>
      </c>
      <c r="V609" s="96">
        <f>-IF(V594&lt;=B580,0,B579*(1+V596)*B575)</f>
        <v>-2496.2429561523104</v>
      </c>
      <c r="W609" s="96">
        <f>-IF(W594&lt;=B580,0,B579*(1+W596)*B575)</f>
        <v>-2606.0776462230124</v>
      </c>
      <c r="X609" s="96">
        <f>-IF(X594&lt;=B580,0,B579*(1+X596)*B575)</f>
        <v>-2720.7450626568252</v>
      </c>
      <c r="Y609" s="96">
        <f>-IF(Y594&lt;=B580,0,B579*(1+Y596)*B575)</f>
        <v>-2840.4578454137254</v>
      </c>
      <c r="Z609" s="96">
        <f>-IF(Z594&lt;=B580,0,B579*(1+Z596)*B575)</f>
        <v>-2965.4379906119293</v>
      </c>
      <c r="AA609" s="96">
        <f>-IF(AA594&lt;=B580,0,B579*(1+AA596)*B575)</f>
        <v>-3095.9172621988541</v>
      </c>
    </row>
    <row r="610" spans="1:27" hidden="1">
      <c r="A610" s="97" t="s">
        <v>290</v>
      </c>
      <c r="B610" s="96"/>
      <c r="C610" s="96"/>
      <c r="D610" s="96"/>
      <c r="E610" s="96"/>
      <c r="F610" s="96"/>
      <c r="G610" s="96"/>
      <c r="H610" s="96"/>
      <c r="I610" s="96"/>
      <c r="J610" s="96"/>
      <c r="K610" s="96"/>
      <c r="L610" s="96"/>
      <c r="M610" s="96"/>
      <c r="N610" s="96"/>
      <c r="O610" s="96"/>
      <c r="P610" s="96"/>
      <c r="Q610" s="96"/>
      <c r="R610" s="96"/>
      <c r="S610" s="96"/>
      <c r="T610" s="96"/>
      <c r="U610" s="96"/>
      <c r="V610" s="96"/>
      <c r="W610" s="96"/>
      <c r="X610" s="96"/>
      <c r="Y610" s="96"/>
      <c r="Z610" s="96"/>
      <c r="AA610" s="96"/>
    </row>
    <row r="611" spans="1:27" hidden="1">
      <c r="A611" s="97" t="s">
        <v>290</v>
      </c>
      <c r="B611" s="96"/>
      <c r="C611" s="96"/>
      <c r="D611" s="96"/>
      <c r="E611" s="96"/>
      <c r="F611" s="96"/>
      <c r="G611" s="96"/>
      <c r="H611" s="96"/>
      <c r="I611" s="96"/>
      <c r="J611" s="96"/>
      <c r="K611" s="96"/>
      <c r="L611" s="96"/>
      <c r="M611" s="96"/>
      <c r="N611" s="96"/>
      <c r="O611" s="96"/>
      <c r="P611" s="96"/>
      <c r="Q611" s="96"/>
      <c r="R611" s="96"/>
      <c r="S611" s="96"/>
      <c r="T611" s="96"/>
      <c r="U611" s="96"/>
      <c r="V611" s="96"/>
      <c r="W611" s="96"/>
      <c r="X611" s="96"/>
      <c r="Y611" s="96"/>
      <c r="Z611" s="96"/>
      <c r="AA611" s="96"/>
    </row>
    <row r="612" spans="1:27" hidden="1">
      <c r="A612" s="97" t="s">
        <v>290</v>
      </c>
      <c r="B612" s="96"/>
      <c r="C612" s="96"/>
      <c r="D612" s="96"/>
      <c r="E612" s="96"/>
      <c r="F612" s="96"/>
      <c r="G612" s="96"/>
      <c r="H612" s="96"/>
      <c r="I612" s="96"/>
      <c r="J612" s="96"/>
      <c r="K612" s="96"/>
      <c r="L612" s="96"/>
      <c r="M612" s="96"/>
      <c r="N612" s="96"/>
      <c r="O612" s="96"/>
      <c r="P612" s="96"/>
      <c r="Q612" s="96"/>
      <c r="R612" s="96"/>
      <c r="S612" s="96"/>
      <c r="T612" s="96"/>
      <c r="U612" s="96"/>
      <c r="V612" s="96"/>
      <c r="W612" s="96"/>
      <c r="X612" s="96"/>
      <c r="Y612" s="96"/>
      <c r="Z612" s="96"/>
      <c r="AA612" s="96"/>
    </row>
    <row r="613" spans="1:27" hidden="1">
      <c r="A613" s="97" t="s">
        <v>33</v>
      </c>
      <c r="B613" s="96"/>
      <c r="C613" s="96">
        <f>-((B572+B573)*B575+(B572+B573)*B575+SUM(B615:C615))/2*2.2%</f>
        <v>-57334.073406779666</v>
      </c>
      <c r="D613" s="96">
        <f>-((B572+B573)*B575+(B572+B573)*B575+SUM(B615:D615))/2*2.2%</f>
        <v>-55357.802220338985</v>
      </c>
      <c r="E613" s="96">
        <f>-((B572+B573)*B575+(B572+B573)*B575+SUM(B615:E615))/2*2.2%</f>
        <v>-53381.531033898311</v>
      </c>
      <c r="F613" s="96">
        <f>-((B572+B573)*B575+(B572+B573)*B575+SUM(B615:F615))/2*2.2%</f>
        <v>-51405.25984745763</v>
      </c>
      <c r="G613" s="96">
        <f>-((B572+B573)*B575+(B572+B573)*B575+SUM(B615:G615))/2*2.2%</f>
        <v>-49428.988661016956</v>
      </c>
      <c r="H613" s="96">
        <f>-((B572+B573)*B575+(B572+B573)*B575+SUM(B615:H615))/2*2.2%</f>
        <v>-47452.717474576275</v>
      </c>
      <c r="I613" s="96">
        <f>-((B572+B573)*B575+(B572+B573)*B575+SUM(B615:I615))/2*2.2%</f>
        <v>-45476.446288135594</v>
      </c>
      <c r="J613" s="96">
        <f>-((B572+B573)*B575+(B572+B573)*B575+SUM(B615:J615))/2*2.2%</f>
        <v>-43500.17510169492</v>
      </c>
      <c r="K613" s="96">
        <f>-((B572+B573)*B575+(B572+B573)*B575+SUM(B615:K615))/2*2.2%</f>
        <v>-41523.903915254239</v>
      </c>
      <c r="L613" s="96">
        <f>-((B572+B573)*B575+(B572+B573)*B575+SUM(B615:L615))/2*2.2%</f>
        <v>-39547.632728813558</v>
      </c>
      <c r="M613" s="96">
        <f>-((B572+B573)*B575+(B572+B573)*B575+SUM(B615:M615))/2*2.2%</f>
        <v>-37571.361542372884</v>
      </c>
      <c r="N613" s="96">
        <f>-((B572+B573)*B575+(B572+B573)*B575+SUM(B615:N615))/2*2.2%</f>
        <v>-35595.090355932211</v>
      </c>
      <c r="O613" s="96">
        <f>-((B572+B573)*B575+(B572+B573)*B575+SUM(B615:O615))/2*2.2%</f>
        <v>-33618.819169491529</v>
      </c>
      <c r="P613" s="96">
        <f>-((B572+B573)*B575+(B572+B573)*B575+SUM(B615:P615))/2*2.2%</f>
        <v>-31642.547983050852</v>
      </c>
      <c r="Q613" s="96">
        <f>-((B572+B573)*B575+(B572+B573)*B575+SUM(B615:Q615))/2*2.2%</f>
        <v>-29666.276796610171</v>
      </c>
      <c r="R613" s="96">
        <f>-((B572+B573)*B575+(B572+B573)*B575+SUM(B615:R615))/2*2.2%</f>
        <v>-27690.005610169494</v>
      </c>
      <c r="S613" s="96">
        <f>-((B572+B573)*B575+(B572+B573)*B575+SUM(B615:S615))/2*2.2%</f>
        <v>-27690.005610169494</v>
      </c>
      <c r="T613" s="96">
        <f>-((B572+B573)*B575+(B572+B573)*B575+SUM(B615:T615))/2*2.2%</f>
        <v>-27690.005610169494</v>
      </c>
      <c r="U613" s="96">
        <f>-((B572+B573)*B575+(B572+B573)*B575+SUM(B615:U615))/2*2.2%</f>
        <v>-27690.005610169494</v>
      </c>
      <c r="V613" s="96">
        <f>-((B572+B573)*B575+(B572+B573)*B575+SUM(B615:V615))/2*2.2%</f>
        <v>-27690.005610169494</v>
      </c>
      <c r="W613" s="96">
        <f>-((B572+B573)*B575+(B572+B573)*B575+SUM(B615:W615))/2*2.2%</f>
        <v>-27690.005610169494</v>
      </c>
      <c r="X613" s="96">
        <f>-((B572+B573)*B575+(B572+B573)*B575+SUM(B615:X615))/2*2.2%</f>
        <v>-27690.005610169494</v>
      </c>
      <c r="Y613" s="96">
        <f>-((B572+B573)*B575+(B572+B573)*B575+SUM(B615:Y615))/2*2.2%</f>
        <v>-27690.005610169494</v>
      </c>
      <c r="Z613" s="96">
        <f>-((B572+B573)*B575+(B572+B573)*B575+SUM(B615:Z615))/2*2.2%</f>
        <v>-27690.005610169494</v>
      </c>
      <c r="AA613" s="96">
        <f>-((B572+B573)*B575+(B572+B573)*B575+SUM(B615:AA615))/2*2.2%</f>
        <v>-27690.005610169494</v>
      </c>
    </row>
    <row r="614" spans="1:27" hidden="1">
      <c r="A614" s="98" t="s">
        <v>114</v>
      </c>
      <c r="B614" s="95"/>
      <c r="C614" s="95">
        <f t="shared" ref="C614:AA614" si="1875">C606+C607</f>
        <v>276960.03337152535</v>
      </c>
      <c r="D614" s="95">
        <f t="shared" si="1875"/>
        <v>293645.24525621149</v>
      </c>
      <c r="E614" s="95">
        <f t="shared" si="1875"/>
        <v>310977.65053162037</v>
      </c>
      <c r="F614" s="95">
        <f t="shared" si="1875"/>
        <v>328985.72570694383</v>
      </c>
      <c r="G614" s="95">
        <f t="shared" si="1875"/>
        <v>347699.20025777823</v>
      </c>
      <c r="H614" s="95">
        <f t="shared" si="1875"/>
        <v>367149.1117566459</v>
      </c>
      <c r="I614" s="95">
        <f t="shared" si="1875"/>
        <v>387367.86342926038</v>
      </c>
      <c r="J614" s="95">
        <f t="shared" si="1875"/>
        <v>408389.28424326656</v>
      </c>
      <c r="K614" s="95">
        <f t="shared" si="1875"/>
        <v>430248.69164088555</v>
      </c>
      <c r="L614" s="95">
        <f t="shared" si="1875"/>
        <v>452982.95703179645</v>
      </c>
      <c r="M614" s="95">
        <f t="shared" si="1875"/>
        <v>476630.57416770404</v>
      </c>
      <c r="N614" s="95">
        <f t="shared" si="1875"/>
        <v>501231.73052538815</v>
      </c>
      <c r="O614" s="95">
        <f t="shared" si="1875"/>
        <v>526828.38183060696</v>
      </c>
      <c r="P614" s="95">
        <f t="shared" si="1875"/>
        <v>553464.32986105199</v>
      </c>
      <c r="Q614" s="95">
        <f t="shared" si="1875"/>
        <v>581185.30367263325</v>
      </c>
      <c r="R614" s="95">
        <f t="shared" si="1875"/>
        <v>610039.04439972062</v>
      </c>
      <c r="S614" s="95">
        <f t="shared" si="1875"/>
        <v>638099.12260015577</v>
      </c>
      <c r="T614" s="95">
        <f t="shared" si="1875"/>
        <v>667393.84424141014</v>
      </c>
      <c r="U614" s="95">
        <f t="shared" si="1875"/>
        <v>697977.53363487963</v>
      </c>
      <c r="V614" s="95">
        <f t="shared" si="1875"/>
        <v>729906.9053616618</v>
      </c>
      <c r="W614" s="95">
        <f t="shared" si="1875"/>
        <v>763241.16944442247</v>
      </c>
      <c r="X614" s="95">
        <f t="shared" si="1875"/>
        <v>798042.14114682458</v>
      </c>
      <c r="Y614" s="95">
        <f t="shared" si="1875"/>
        <v>834374.35560413229</v>
      </c>
      <c r="Z614" s="95">
        <f t="shared" si="1875"/>
        <v>872305.18749756156</v>
      </c>
      <c r="AA614" s="95">
        <f t="shared" si="1875"/>
        <v>911904.97599430173</v>
      </c>
    </row>
    <row r="615" spans="1:27" hidden="1">
      <c r="A615" s="97" t="s">
        <v>278</v>
      </c>
      <c r="B615" s="96">
        <v>2019</v>
      </c>
      <c r="C615" s="96">
        <f>IF(B572-ABS(SUM(B615:B615))&gt;0,-B572/B574,0)</f>
        <v>-179661.01694915254</v>
      </c>
      <c r="D615" s="96">
        <f>IF(B572-ABS(SUM(B615:C615))&gt;0,-B572/B574,0)</f>
        <v>-179661.01694915254</v>
      </c>
      <c r="E615" s="96">
        <f>IF(B572-ABS(SUM(B615:D615))&gt;0,-B572/B574,0)</f>
        <v>-179661.01694915254</v>
      </c>
      <c r="F615" s="96">
        <f>IF(B572-ABS(SUM(B615:E615))&gt;0,-B572/B574,0)</f>
        <v>-179661.01694915254</v>
      </c>
      <c r="G615" s="96">
        <f>IF(B572-ABS(SUM(B615:F615))&gt;0,-B572/B574,0)</f>
        <v>-179661.01694915254</v>
      </c>
      <c r="H615" s="96">
        <f>IF(B572-ABS(SUM(B615:G615))&gt;0,-B572/B574,0)</f>
        <v>-179661.01694915254</v>
      </c>
      <c r="I615" s="96">
        <f>IF(B572-ABS(SUM(B615:H615))&gt;0,-B572/B574,0)</f>
        <v>-179661.01694915254</v>
      </c>
      <c r="J615" s="96">
        <f>IF(B572-ABS(SUM(B615:I615))&gt;0,-B572/B574,0)</f>
        <v>-179661.01694915254</v>
      </c>
      <c r="K615" s="96">
        <f>IF(B572-ABS(SUM(B615:J615))&gt;0,-B572/B574,0)</f>
        <v>-179661.01694915254</v>
      </c>
      <c r="L615" s="96">
        <f>IF(B572-ABS(SUM(B615:K615))&gt;0,-B572/B574,0)</f>
        <v>-179661.01694915254</v>
      </c>
      <c r="M615" s="96">
        <f>IF(B572-ABS(SUM(B615:L615))&gt;0,-B572/B574,0)</f>
        <v>-179661.01694915254</v>
      </c>
      <c r="N615" s="96">
        <f>IF(B572-ABS(SUM(B615:M615))&gt;0,-B572/B574,0)</f>
        <v>-179661.01694915254</v>
      </c>
      <c r="O615" s="96">
        <f>IF(B572-ABS(SUM(B615:N615))&gt;0,-B572/B574,0)</f>
        <v>-179661.01694915254</v>
      </c>
      <c r="P615" s="96">
        <f>IF(B572-ABS(SUM(B615:O615))&gt;0,-B572/B574,0)</f>
        <v>-179661.01694915254</v>
      </c>
      <c r="Q615" s="96">
        <f>IF(B572-ABS(SUM(B615:P615))&gt;0,-B572/B574,0)</f>
        <v>-179661.01694915254</v>
      </c>
      <c r="R615" s="96">
        <f>IF(B572-ABS(SUM(B615:Q615))&gt;0,-B572/B574,0)</f>
        <v>-179661.01694915254</v>
      </c>
      <c r="S615" s="96">
        <f>IF(B572-ABS(SUM(B615:R615))&gt;0,-B572/B574,0)</f>
        <v>0</v>
      </c>
      <c r="T615" s="96">
        <f>IF(B572-ABS(SUM(B615:S615))&gt;0,-B572/B574,0)</f>
        <v>0</v>
      </c>
      <c r="U615" s="96">
        <f>IF(B572-ABS(SUM(B615:T615))&gt;0,-B572/B574,0)</f>
        <v>0</v>
      </c>
      <c r="V615" s="96">
        <f>IF(B572-ABS(SUM(B615:U615))&gt;0,-B572/B574,0)</f>
        <v>0</v>
      </c>
      <c r="W615" s="96">
        <f>IF(B572-ABS(SUM(B615:V615))&gt;0,-B572/B574,0)</f>
        <v>0</v>
      </c>
      <c r="X615" s="96">
        <f>IF(B572-ABS(SUM(B615:W615))&gt;0,-B572/B574,0)</f>
        <v>0</v>
      </c>
      <c r="Y615" s="96">
        <f>IF(B572-ABS(SUM(B615:X615))&gt;0,-B572/B574,0)</f>
        <v>0</v>
      </c>
      <c r="Z615" s="96">
        <f>IF(B572-ABS(SUM(B615:Y615))&gt;0,-B572/B574,0)</f>
        <v>0</v>
      </c>
      <c r="AA615" s="96">
        <f>IF(B572-ABS(SUM(B615:Z615))&gt;0,-B572/B574,0)</f>
        <v>0</v>
      </c>
    </row>
    <row r="616" spans="1:27" hidden="1">
      <c r="A616" s="98" t="s">
        <v>34</v>
      </c>
      <c r="B616" s="95"/>
      <c r="C616" s="95">
        <f>C614+C615</f>
        <v>97299.016422372806</v>
      </c>
      <c r="D616" s="95">
        <f t="shared" ref="D616:AA616" si="1876">D614+D615</f>
        <v>113984.22830705895</v>
      </c>
      <c r="E616" s="95">
        <f t="shared" si="1876"/>
        <v>131316.63358246782</v>
      </c>
      <c r="F616" s="95">
        <f t="shared" si="1876"/>
        <v>149324.70875779129</v>
      </c>
      <c r="G616" s="95">
        <f t="shared" si="1876"/>
        <v>168038.18330862568</v>
      </c>
      <c r="H616" s="95">
        <f t="shared" si="1876"/>
        <v>187488.09480749335</v>
      </c>
      <c r="I616" s="95">
        <f t="shared" si="1876"/>
        <v>207706.84648010784</v>
      </c>
      <c r="J616" s="95">
        <f t="shared" si="1876"/>
        <v>228728.26729411402</v>
      </c>
      <c r="K616" s="95">
        <f t="shared" si="1876"/>
        <v>250587.674691733</v>
      </c>
      <c r="L616" s="95">
        <f t="shared" si="1876"/>
        <v>273321.94008264388</v>
      </c>
      <c r="M616" s="95">
        <f t="shared" si="1876"/>
        <v>296969.55721855152</v>
      </c>
      <c r="N616" s="95">
        <f t="shared" si="1876"/>
        <v>321570.71357623558</v>
      </c>
      <c r="O616" s="95">
        <f t="shared" si="1876"/>
        <v>347167.36488145438</v>
      </c>
      <c r="P616" s="95">
        <f t="shared" si="1876"/>
        <v>373803.31291189941</v>
      </c>
      <c r="Q616" s="95">
        <f t="shared" si="1876"/>
        <v>401524.28672348068</v>
      </c>
      <c r="R616" s="95">
        <f t="shared" si="1876"/>
        <v>430378.02745056804</v>
      </c>
      <c r="S616" s="95">
        <f t="shared" si="1876"/>
        <v>638099.12260015577</v>
      </c>
      <c r="T616" s="95">
        <f t="shared" si="1876"/>
        <v>667393.84424141014</v>
      </c>
      <c r="U616" s="95">
        <f t="shared" si="1876"/>
        <v>697977.53363487963</v>
      </c>
      <c r="V616" s="95">
        <f t="shared" si="1876"/>
        <v>729906.9053616618</v>
      </c>
      <c r="W616" s="95">
        <f t="shared" si="1876"/>
        <v>763241.16944442247</v>
      </c>
      <c r="X616" s="95">
        <f t="shared" si="1876"/>
        <v>798042.14114682458</v>
      </c>
      <c r="Y616" s="95">
        <f t="shared" si="1876"/>
        <v>834374.35560413229</v>
      </c>
      <c r="Z616" s="95">
        <f t="shared" si="1876"/>
        <v>872305.18749756156</v>
      </c>
      <c r="AA616" s="95">
        <f t="shared" si="1876"/>
        <v>911904.97599430173</v>
      </c>
    </row>
    <row r="617" spans="1:27" hidden="1">
      <c r="A617" s="97" t="s">
        <v>62</v>
      </c>
      <c r="B617" s="96">
        <f t="shared" ref="B617:AA617" si="1877">-B603</f>
        <v>0</v>
      </c>
      <c r="C617" s="96">
        <f t="shared" si="1877"/>
        <v>0</v>
      </c>
      <c r="D617" s="96">
        <f t="shared" si="1877"/>
        <v>0</v>
      </c>
      <c r="E617" s="96">
        <f t="shared" si="1877"/>
        <v>0</v>
      </c>
      <c r="F617" s="96">
        <f t="shared" si="1877"/>
        <v>0</v>
      </c>
      <c r="G617" s="96">
        <f t="shared" si="1877"/>
        <v>0</v>
      </c>
      <c r="H617" s="96">
        <f t="shared" si="1877"/>
        <v>0</v>
      </c>
      <c r="I617" s="96">
        <f t="shared" si="1877"/>
        <v>0</v>
      </c>
      <c r="J617" s="96">
        <f t="shared" si="1877"/>
        <v>0</v>
      </c>
      <c r="K617" s="96">
        <f t="shared" si="1877"/>
        <v>0</v>
      </c>
      <c r="L617" s="96">
        <f t="shared" si="1877"/>
        <v>0</v>
      </c>
      <c r="M617" s="96">
        <f t="shared" si="1877"/>
        <v>0</v>
      </c>
      <c r="N617" s="96">
        <f t="shared" si="1877"/>
        <v>0</v>
      </c>
      <c r="O617" s="96">
        <f t="shared" si="1877"/>
        <v>0</v>
      </c>
      <c r="P617" s="96">
        <f t="shared" si="1877"/>
        <v>0</v>
      </c>
      <c r="Q617" s="96">
        <f t="shared" si="1877"/>
        <v>0</v>
      </c>
      <c r="R617" s="96">
        <f t="shared" si="1877"/>
        <v>0</v>
      </c>
      <c r="S617" s="96">
        <f t="shared" si="1877"/>
        <v>0</v>
      </c>
      <c r="T617" s="96">
        <f t="shared" si="1877"/>
        <v>0</v>
      </c>
      <c r="U617" s="96">
        <f t="shared" si="1877"/>
        <v>0</v>
      </c>
      <c r="V617" s="96">
        <f t="shared" si="1877"/>
        <v>0</v>
      </c>
      <c r="W617" s="96">
        <f t="shared" si="1877"/>
        <v>0</v>
      </c>
      <c r="X617" s="96">
        <f t="shared" si="1877"/>
        <v>0</v>
      </c>
      <c r="Y617" s="96">
        <f t="shared" si="1877"/>
        <v>0</v>
      </c>
      <c r="Z617" s="96">
        <f t="shared" si="1877"/>
        <v>0</v>
      </c>
      <c r="AA617" s="96">
        <f t="shared" si="1877"/>
        <v>0</v>
      </c>
    </row>
    <row r="618" spans="1:27" hidden="1">
      <c r="A618" s="98" t="s">
        <v>35</v>
      </c>
      <c r="B618" s="95"/>
      <c r="C618" s="95">
        <f t="shared" ref="C618:AA618" si="1878">C616+C617</f>
        <v>97299.016422372806</v>
      </c>
      <c r="D618" s="95">
        <f t="shared" si="1878"/>
        <v>113984.22830705895</v>
      </c>
      <c r="E618" s="95">
        <f t="shared" si="1878"/>
        <v>131316.63358246782</v>
      </c>
      <c r="F618" s="95">
        <f t="shared" si="1878"/>
        <v>149324.70875779129</v>
      </c>
      <c r="G618" s="95">
        <f t="shared" si="1878"/>
        <v>168038.18330862568</v>
      </c>
      <c r="H618" s="95">
        <f t="shared" si="1878"/>
        <v>187488.09480749335</v>
      </c>
      <c r="I618" s="95">
        <f t="shared" si="1878"/>
        <v>207706.84648010784</v>
      </c>
      <c r="J618" s="95">
        <f t="shared" si="1878"/>
        <v>228728.26729411402</v>
      </c>
      <c r="K618" s="95">
        <f t="shared" si="1878"/>
        <v>250587.674691733</v>
      </c>
      <c r="L618" s="95">
        <f t="shared" si="1878"/>
        <v>273321.94008264388</v>
      </c>
      <c r="M618" s="95">
        <f t="shared" si="1878"/>
        <v>296969.55721855152</v>
      </c>
      <c r="N618" s="95">
        <f t="shared" si="1878"/>
        <v>321570.71357623558</v>
      </c>
      <c r="O618" s="95">
        <f t="shared" si="1878"/>
        <v>347167.36488145438</v>
      </c>
      <c r="P618" s="95">
        <f t="shared" si="1878"/>
        <v>373803.31291189941</v>
      </c>
      <c r="Q618" s="95">
        <f t="shared" si="1878"/>
        <v>401524.28672348068</v>
      </c>
      <c r="R618" s="95">
        <f t="shared" si="1878"/>
        <v>430378.02745056804</v>
      </c>
      <c r="S618" s="95">
        <f t="shared" si="1878"/>
        <v>638099.12260015577</v>
      </c>
      <c r="T618" s="95">
        <f t="shared" si="1878"/>
        <v>667393.84424141014</v>
      </c>
      <c r="U618" s="95">
        <f t="shared" si="1878"/>
        <v>697977.53363487963</v>
      </c>
      <c r="V618" s="95">
        <f t="shared" si="1878"/>
        <v>729906.9053616618</v>
      </c>
      <c r="W618" s="95">
        <f t="shared" si="1878"/>
        <v>763241.16944442247</v>
      </c>
      <c r="X618" s="95">
        <f t="shared" si="1878"/>
        <v>798042.14114682458</v>
      </c>
      <c r="Y618" s="95">
        <f t="shared" si="1878"/>
        <v>834374.35560413229</v>
      </c>
      <c r="Z618" s="95">
        <f t="shared" si="1878"/>
        <v>872305.18749756156</v>
      </c>
      <c r="AA618" s="95">
        <f t="shared" si="1878"/>
        <v>911904.97599430173</v>
      </c>
    </row>
    <row r="619" spans="1:27" hidden="1">
      <c r="A619" s="97" t="s">
        <v>100</v>
      </c>
      <c r="B619" s="96"/>
      <c r="C619" s="96">
        <f>-C618*B583</f>
        <v>-19459.803284474561</v>
      </c>
      <c r="D619" s="96">
        <f>-D618*B583</f>
        <v>-22796.845661411789</v>
      </c>
      <c r="E619" s="96">
        <f>-E618*B583</f>
        <v>-26263.326716493568</v>
      </c>
      <c r="F619" s="96">
        <f>-F618*B583</f>
        <v>-29864.941751558261</v>
      </c>
      <c r="G619" s="96">
        <f>-G618*B583</f>
        <v>-33607.636661725141</v>
      </c>
      <c r="H619" s="96">
        <f>-H618*B583</f>
        <v>-37497.618961498672</v>
      </c>
      <c r="I619" s="96">
        <f>-I618*B583</f>
        <v>-41541.36929602157</v>
      </c>
      <c r="J619" s="96">
        <f>-J618*B583</f>
        <v>-45745.65345882281</v>
      </c>
      <c r="K619" s="96">
        <f>-K618*B583</f>
        <v>-50117.534938346602</v>
      </c>
      <c r="L619" s="96">
        <f>-L618*B583</f>
        <v>-54664.388016528777</v>
      </c>
      <c r="M619" s="96">
        <f>-M618*B583</f>
        <v>-59393.911443710305</v>
      </c>
      <c r="N619" s="96">
        <f>-N618*B583</f>
        <v>-64314.142715247115</v>
      </c>
      <c r="O619" s="96">
        <f>-O618*B583</f>
        <v>-69433.472976290883</v>
      </c>
      <c r="P619" s="96">
        <f>-P618*B583</f>
        <v>-74760.662582379882</v>
      </c>
      <c r="Q619" s="96">
        <f>-Q618*B583</f>
        <v>-80304.857344696138</v>
      </c>
      <c r="R619" s="96">
        <f>-R618*B583</f>
        <v>-86075.605490113609</v>
      </c>
      <c r="S619" s="96">
        <f>-S618*B583</f>
        <v>-127619.82452003116</v>
      </c>
      <c r="T619" s="96">
        <f>-T618*B583</f>
        <v>-133478.76884828202</v>
      </c>
      <c r="U619" s="96">
        <f>-U618*B583</f>
        <v>-139595.50672697593</v>
      </c>
      <c r="V619" s="96">
        <f>-V618*B583</f>
        <v>-145981.38107233235</v>
      </c>
      <c r="W619" s="96">
        <f>-W618*B583</f>
        <v>-152648.23388888451</v>
      </c>
      <c r="X619" s="96">
        <f>-X618*B583</f>
        <v>-159608.42822936492</v>
      </c>
      <c r="Y619" s="96">
        <f>-Y618*B583</f>
        <v>-166874.87112082646</v>
      </c>
      <c r="Z619" s="96">
        <f>-Z618*B583</f>
        <v>-174461.03749951231</v>
      </c>
      <c r="AA619" s="96">
        <f>-AA618*B583</f>
        <v>-182380.99519886036</v>
      </c>
    </row>
    <row r="620" spans="1:27" ht="16.5" hidden="1" thickBot="1">
      <c r="A620" s="99" t="s">
        <v>36</v>
      </c>
      <c r="B620" s="100"/>
      <c r="C620" s="100">
        <f t="shared" ref="C620:AA620" si="1879">C618+C619</f>
        <v>77839.213137898245</v>
      </c>
      <c r="D620" s="100">
        <f t="shared" si="1879"/>
        <v>91187.382645647158</v>
      </c>
      <c r="E620" s="100">
        <f t="shared" si="1879"/>
        <v>105053.30686597426</v>
      </c>
      <c r="F620" s="100">
        <f t="shared" si="1879"/>
        <v>119459.76700623303</v>
      </c>
      <c r="G620" s="100">
        <f t="shared" si="1879"/>
        <v>134430.54664690053</v>
      </c>
      <c r="H620" s="100">
        <f t="shared" si="1879"/>
        <v>149990.47584599469</v>
      </c>
      <c r="I620" s="100">
        <f t="shared" si="1879"/>
        <v>166165.47718408628</v>
      </c>
      <c r="J620" s="100">
        <f t="shared" si="1879"/>
        <v>182982.61383529121</v>
      </c>
      <c r="K620" s="100">
        <f t="shared" si="1879"/>
        <v>200470.13975338641</v>
      </c>
      <c r="L620" s="100">
        <f t="shared" si="1879"/>
        <v>218657.55206611511</v>
      </c>
      <c r="M620" s="100">
        <f t="shared" si="1879"/>
        <v>237575.64577484122</v>
      </c>
      <c r="N620" s="100">
        <f t="shared" si="1879"/>
        <v>257256.57086098846</v>
      </c>
      <c r="O620" s="100">
        <f t="shared" si="1879"/>
        <v>277733.89190516353</v>
      </c>
      <c r="P620" s="100">
        <f t="shared" si="1879"/>
        <v>299042.65032951953</v>
      </c>
      <c r="Q620" s="100">
        <f t="shared" si="1879"/>
        <v>321219.42937878455</v>
      </c>
      <c r="R620" s="100">
        <f t="shared" si="1879"/>
        <v>344302.42196045443</v>
      </c>
      <c r="S620" s="100">
        <f t="shared" si="1879"/>
        <v>510479.2980801246</v>
      </c>
      <c r="T620" s="100">
        <f t="shared" si="1879"/>
        <v>533915.07539312809</v>
      </c>
      <c r="U620" s="100">
        <f t="shared" si="1879"/>
        <v>558382.02690790372</v>
      </c>
      <c r="V620" s="100">
        <f t="shared" si="1879"/>
        <v>583925.52428932942</v>
      </c>
      <c r="W620" s="100">
        <f t="shared" si="1879"/>
        <v>610592.93555553793</v>
      </c>
      <c r="X620" s="100">
        <f t="shared" si="1879"/>
        <v>638433.71291745966</v>
      </c>
      <c r="Y620" s="100">
        <f t="shared" si="1879"/>
        <v>667499.48448330583</v>
      </c>
      <c r="Z620" s="100">
        <f t="shared" si="1879"/>
        <v>697844.14999804925</v>
      </c>
      <c r="AA620" s="100">
        <f t="shared" si="1879"/>
        <v>729523.98079544143</v>
      </c>
    </row>
    <row r="621" spans="1:27" s="487" customFormat="1" ht="16.5" hidden="1" thickBot="1">
      <c r="A621" s="485"/>
      <c r="B621" s="486"/>
      <c r="C621" s="486">
        <v>1</v>
      </c>
      <c r="D621" s="486">
        <f t="shared" ref="D621" si="1880">+C621+1</f>
        <v>2</v>
      </c>
      <c r="E621" s="486">
        <f t="shared" ref="E621" si="1881">+D621+1</f>
        <v>3</v>
      </c>
      <c r="F621" s="486">
        <f t="shared" ref="F621" si="1882">+E621+1</f>
        <v>4</v>
      </c>
      <c r="G621" s="486">
        <f t="shared" ref="G621" si="1883">+F621+1</f>
        <v>5</v>
      </c>
      <c r="H621" s="486">
        <f t="shared" ref="H621" si="1884">+G621+1</f>
        <v>6</v>
      </c>
      <c r="I621" s="486">
        <f t="shared" ref="I621" si="1885">+H621+1</f>
        <v>7</v>
      </c>
      <c r="J621" s="486">
        <f t="shared" ref="J621" si="1886">+I621+1</f>
        <v>8</v>
      </c>
      <c r="K621" s="486">
        <f t="shared" ref="K621" si="1887">+J621+1</f>
        <v>9</v>
      </c>
      <c r="L621" s="486">
        <f t="shared" ref="L621" si="1888">+K621+1</f>
        <v>10</v>
      </c>
      <c r="M621" s="486">
        <f t="shared" ref="M621" si="1889">+L621+1</f>
        <v>11</v>
      </c>
      <c r="N621" s="486">
        <f t="shared" ref="N621" si="1890">+M621+1</f>
        <v>12</v>
      </c>
      <c r="O621" s="486">
        <f>+N621+1</f>
        <v>13</v>
      </c>
      <c r="P621" s="486">
        <f>+O621+1</f>
        <v>14</v>
      </c>
      <c r="Q621" s="486">
        <f>+P621+1</f>
        <v>15</v>
      </c>
      <c r="R621" s="486">
        <f t="shared" ref="R621" si="1891">+Q621+1</f>
        <v>16</v>
      </c>
      <c r="S621" s="486">
        <f t="shared" ref="S621" si="1892">+R621+1</f>
        <v>17</v>
      </c>
      <c r="T621" s="486">
        <f t="shared" ref="T621" si="1893">+S621+1</f>
        <v>18</v>
      </c>
      <c r="U621" s="486">
        <f t="shared" ref="U621" si="1894">+T621+1</f>
        <v>19</v>
      </c>
      <c r="V621" s="486">
        <f t="shared" ref="V621" si="1895">+U621+1</f>
        <v>20</v>
      </c>
      <c r="W621" s="486">
        <f t="shared" ref="W621" si="1896">+V621+1</f>
        <v>21</v>
      </c>
      <c r="X621" s="486">
        <f t="shared" ref="X621" si="1897">+W621+1</f>
        <v>22</v>
      </c>
      <c r="Y621" s="486">
        <f t="shared" ref="Y621" si="1898">+X621+1</f>
        <v>23</v>
      </c>
      <c r="Z621" s="486">
        <f t="shared" ref="Z621" si="1899">+Y621+1</f>
        <v>24</v>
      </c>
      <c r="AA621" s="486">
        <f t="shared" ref="AA621" si="1900">+Z621+1</f>
        <v>25</v>
      </c>
    </row>
    <row r="622" spans="1:27" ht="47.25" hidden="1">
      <c r="A622" s="88" t="s">
        <v>37</v>
      </c>
      <c r="B622" s="78" t="str">
        <f>B605</f>
        <v>год окончания 
строительства объекта 2016</v>
      </c>
      <c r="C622" s="79">
        <f>C605</f>
        <v>2017</v>
      </c>
      <c r="D622" s="80">
        <f t="shared" ref="D622" si="1901">C622+1</f>
        <v>2018</v>
      </c>
      <c r="E622" s="80">
        <f t="shared" ref="E622" si="1902">D622+1</f>
        <v>2019</v>
      </c>
      <c r="F622" s="80">
        <f t="shared" ref="F622" si="1903">E622+1</f>
        <v>2020</v>
      </c>
      <c r="G622" s="80">
        <f t="shared" ref="G622" si="1904">F622+1</f>
        <v>2021</v>
      </c>
      <c r="H622" s="80">
        <f t="shared" ref="H622" si="1905">G622+1</f>
        <v>2022</v>
      </c>
      <c r="I622" s="80">
        <f t="shared" ref="I622" si="1906">H622+1</f>
        <v>2023</v>
      </c>
      <c r="J622" s="80">
        <f t="shared" ref="J622" si="1907">I622+1</f>
        <v>2024</v>
      </c>
      <c r="K622" s="80">
        <f t="shared" ref="K622" si="1908">J622+1</f>
        <v>2025</v>
      </c>
      <c r="L622" s="80">
        <f t="shared" ref="L622" si="1909">K622+1</f>
        <v>2026</v>
      </c>
      <c r="M622" s="80">
        <f t="shared" ref="M622" si="1910">L622+1</f>
        <v>2027</v>
      </c>
      <c r="N622" s="80">
        <f t="shared" ref="N622" si="1911">M622+1</f>
        <v>2028</v>
      </c>
      <c r="O622" s="80">
        <f t="shared" ref="O622" si="1912">N622+1</f>
        <v>2029</v>
      </c>
      <c r="P622" s="80">
        <f t="shared" ref="P622" si="1913">O622+1</f>
        <v>2030</v>
      </c>
      <c r="Q622" s="80">
        <f t="shared" ref="Q622" si="1914">P622+1</f>
        <v>2031</v>
      </c>
      <c r="R622" s="80">
        <f t="shared" ref="R622" si="1915">Q622+1</f>
        <v>2032</v>
      </c>
      <c r="S622" s="80">
        <f t="shared" ref="S622" si="1916">R622+1</f>
        <v>2033</v>
      </c>
      <c r="T622" s="80">
        <f t="shared" ref="T622" si="1917">S622+1</f>
        <v>2034</v>
      </c>
      <c r="U622" s="80">
        <f t="shared" ref="U622" si="1918">T622+1</f>
        <v>2035</v>
      </c>
      <c r="V622" s="80">
        <f t="shared" ref="V622" si="1919">U622+1</f>
        <v>2036</v>
      </c>
      <c r="W622" s="80">
        <f t="shared" ref="W622" si="1920">V622+1</f>
        <v>2037</v>
      </c>
      <c r="X622" s="80">
        <f t="shared" ref="X622" si="1921">W622+1</f>
        <v>2038</v>
      </c>
      <c r="Y622" s="80">
        <f t="shared" ref="Y622" si="1922">X622+1</f>
        <v>2039</v>
      </c>
      <c r="Z622" s="80">
        <f t="shared" ref="Z622" si="1923">Y622+1</f>
        <v>2040</v>
      </c>
      <c r="AA622" s="80">
        <f t="shared" ref="AA622" si="1924">Z622+1</f>
        <v>2041</v>
      </c>
    </row>
    <row r="623" spans="1:27" hidden="1">
      <c r="A623" s="94" t="s">
        <v>34</v>
      </c>
      <c r="B623" s="95">
        <f t="shared" ref="B623" si="1925">B616</f>
        <v>0</v>
      </c>
      <c r="C623" s="95">
        <f>C616</f>
        <v>97299.016422372806</v>
      </c>
      <c r="D623" s="95">
        <f t="shared" ref="D623:AA623" si="1926">D616</f>
        <v>113984.22830705895</v>
      </c>
      <c r="E623" s="95">
        <f t="shared" si="1926"/>
        <v>131316.63358246782</v>
      </c>
      <c r="F623" s="95">
        <f t="shared" si="1926"/>
        <v>149324.70875779129</v>
      </c>
      <c r="G623" s="95">
        <f t="shared" si="1926"/>
        <v>168038.18330862568</v>
      </c>
      <c r="H623" s="95">
        <f t="shared" si="1926"/>
        <v>187488.09480749335</v>
      </c>
      <c r="I623" s="95">
        <f t="shared" si="1926"/>
        <v>207706.84648010784</v>
      </c>
      <c r="J623" s="95">
        <f t="shared" si="1926"/>
        <v>228728.26729411402</v>
      </c>
      <c r="K623" s="95">
        <f t="shared" si="1926"/>
        <v>250587.674691733</v>
      </c>
      <c r="L623" s="95">
        <f t="shared" si="1926"/>
        <v>273321.94008264388</v>
      </c>
      <c r="M623" s="95">
        <f t="shared" si="1926"/>
        <v>296969.55721855152</v>
      </c>
      <c r="N623" s="95">
        <f t="shared" si="1926"/>
        <v>321570.71357623558</v>
      </c>
      <c r="O623" s="95">
        <f t="shared" si="1926"/>
        <v>347167.36488145438</v>
      </c>
      <c r="P623" s="95">
        <f t="shared" si="1926"/>
        <v>373803.31291189941</v>
      </c>
      <c r="Q623" s="95">
        <f t="shared" si="1926"/>
        <v>401524.28672348068</v>
      </c>
      <c r="R623" s="95">
        <f t="shared" si="1926"/>
        <v>430378.02745056804</v>
      </c>
      <c r="S623" s="95">
        <f t="shared" si="1926"/>
        <v>638099.12260015577</v>
      </c>
      <c r="T623" s="95">
        <f t="shared" si="1926"/>
        <v>667393.84424141014</v>
      </c>
      <c r="U623" s="95">
        <f t="shared" si="1926"/>
        <v>697977.53363487963</v>
      </c>
      <c r="V623" s="95">
        <f t="shared" si="1926"/>
        <v>729906.9053616618</v>
      </c>
      <c r="W623" s="95">
        <f t="shared" si="1926"/>
        <v>763241.16944442247</v>
      </c>
      <c r="X623" s="95">
        <f t="shared" si="1926"/>
        <v>798042.14114682458</v>
      </c>
      <c r="Y623" s="95">
        <f t="shared" si="1926"/>
        <v>834374.35560413229</v>
      </c>
      <c r="Z623" s="95">
        <f t="shared" si="1926"/>
        <v>872305.18749756156</v>
      </c>
      <c r="AA623" s="95">
        <f t="shared" si="1926"/>
        <v>911904.97599430173</v>
      </c>
    </row>
    <row r="624" spans="1:27" hidden="1">
      <c r="A624" s="97" t="s">
        <v>278</v>
      </c>
      <c r="B624" s="96">
        <f t="shared" ref="B624" si="1927">-B615</f>
        <v>-2019</v>
      </c>
      <c r="C624" s="96">
        <f>-C615</f>
        <v>179661.01694915254</v>
      </c>
      <c r="D624" s="96">
        <f t="shared" ref="D624:AA624" si="1928">-D615</f>
        <v>179661.01694915254</v>
      </c>
      <c r="E624" s="96">
        <f t="shared" si="1928"/>
        <v>179661.01694915254</v>
      </c>
      <c r="F624" s="96">
        <f t="shared" si="1928"/>
        <v>179661.01694915254</v>
      </c>
      <c r="G624" s="96">
        <f t="shared" si="1928"/>
        <v>179661.01694915254</v>
      </c>
      <c r="H624" s="96">
        <f t="shared" si="1928"/>
        <v>179661.01694915254</v>
      </c>
      <c r="I624" s="96">
        <f t="shared" si="1928"/>
        <v>179661.01694915254</v>
      </c>
      <c r="J624" s="96">
        <f t="shared" si="1928"/>
        <v>179661.01694915254</v>
      </c>
      <c r="K624" s="96">
        <f t="shared" si="1928"/>
        <v>179661.01694915254</v>
      </c>
      <c r="L624" s="96">
        <f t="shared" si="1928"/>
        <v>179661.01694915254</v>
      </c>
      <c r="M624" s="96">
        <f t="shared" si="1928"/>
        <v>179661.01694915254</v>
      </c>
      <c r="N624" s="96">
        <f t="shared" si="1928"/>
        <v>179661.01694915254</v>
      </c>
      <c r="O624" s="96">
        <f t="shared" si="1928"/>
        <v>179661.01694915254</v>
      </c>
      <c r="P624" s="96">
        <f t="shared" si="1928"/>
        <v>179661.01694915254</v>
      </c>
      <c r="Q624" s="96">
        <f t="shared" si="1928"/>
        <v>179661.01694915254</v>
      </c>
      <c r="R624" s="96">
        <f t="shared" si="1928"/>
        <v>179661.01694915254</v>
      </c>
      <c r="S624" s="96">
        <f t="shared" si="1928"/>
        <v>0</v>
      </c>
      <c r="T624" s="96">
        <f t="shared" si="1928"/>
        <v>0</v>
      </c>
      <c r="U624" s="96">
        <f t="shared" si="1928"/>
        <v>0</v>
      </c>
      <c r="V624" s="96">
        <f t="shared" si="1928"/>
        <v>0</v>
      </c>
      <c r="W624" s="96">
        <f t="shared" si="1928"/>
        <v>0</v>
      </c>
      <c r="X624" s="96">
        <f t="shared" si="1928"/>
        <v>0</v>
      </c>
      <c r="Y624" s="96">
        <f t="shared" si="1928"/>
        <v>0</v>
      </c>
      <c r="Z624" s="96">
        <f t="shared" si="1928"/>
        <v>0</v>
      </c>
      <c r="AA624" s="96">
        <f t="shared" si="1928"/>
        <v>0</v>
      </c>
    </row>
    <row r="625" spans="1:27" hidden="1">
      <c r="A625" s="97" t="s">
        <v>62</v>
      </c>
      <c r="B625" s="96">
        <f t="shared" ref="B625:AA625" si="1929">B617</f>
        <v>0</v>
      </c>
      <c r="C625" s="96">
        <f t="shared" si="1929"/>
        <v>0</v>
      </c>
      <c r="D625" s="96">
        <f t="shared" si="1929"/>
        <v>0</v>
      </c>
      <c r="E625" s="96">
        <f t="shared" si="1929"/>
        <v>0</v>
      </c>
      <c r="F625" s="96">
        <f t="shared" si="1929"/>
        <v>0</v>
      </c>
      <c r="G625" s="96">
        <f t="shared" si="1929"/>
        <v>0</v>
      </c>
      <c r="H625" s="96">
        <f t="shared" si="1929"/>
        <v>0</v>
      </c>
      <c r="I625" s="96">
        <f t="shared" si="1929"/>
        <v>0</v>
      </c>
      <c r="J625" s="96">
        <f t="shared" si="1929"/>
        <v>0</v>
      </c>
      <c r="K625" s="96">
        <f t="shared" si="1929"/>
        <v>0</v>
      </c>
      <c r="L625" s="96">
        <f t="shared" si="1929"/>
        <v>0</v>
      </c>
      <c r="M625" s="96">
        <f t="shared" si="1929"/>
        <v>0</v>
      </c>
      <c r="N625" s="96">
        <f t="shared" si="1929"/>
        <v>0</v>
      </c>
      <c r="O625" s="96">
        <f t="shared" si="1929"/>
        <v>0</v>
      </c>
      <c r="P625" s="96">
        <f t="shared" si="1929"/>
        <v>0</v>
      </c>
      <c r="Q625" s="96">
        <f t="shared" si="1929"/>
        <v>0</v>
      </c>
      <c r="R625" s="96">
        <f t="shared" si="1929"/>
        <v>0</v>
      </c>
      <c r="S625" s="96">
        <f t="shared" si="1929"/>
        <v>0</v>
      </c>
      <c r="T625" s="96">
        <f t="shared" si="1929"/>
        <v>0</v>
      </c>
      <c r="U625" s="96">
        <f t="shared" si="1929"/>
        <v>0</v>
      </c>
      <c r="V625" s="96">
        <f t="shared" si="1929"/>
        <v>0</v>
      </c>
      <c r="W625" s="96">
        <f t="shared" si="1929"/>
        <v>0</v>
      </c>
      <c r="X625" s="96">
        <f t="shared" si="1929"/>
        <v>0</v>
      </c>
      <c r="Y625" s="96">
        <f t="shared" si="1929"/>
        <v>0</v>
      </c>
      <c r="Z625" s="96">
        <f t="shared" si="1929"/>
        <v>0</v>
      </c>
      <c r="AA625" s="96">
        <f t="shared" si="1929"/>
        <v>0</v>
      </c>
    </row>
    <row r="626" spans="1:27" hidden="1">
      <c r="A626" s="97" t="s">
        <v>100</v>
      </c>
      <c r="B626" s="96">
        <f>IF(SUM(B619:B619)+SUM(A626:A626)&gt;0,0,SUM(B619:B619)-SUM(A626:A626))</f>
        <v>0</v>
      </c>
      <c r="C626" s="96">
        <f>IF(SUM(B619:C619)+SUM(A626:B626)&gt;0,0,SUM(B619:C619)-SUM(A626:B626))</f>
        <v>-19459.803284474561</v>
      </c>
      <c r="D626" s="96">
        <f>IF(SUM(B619:D619)+SUM(A626:C626)&gt;0,0,SUM(B619:D619)-SUM(A626:C626))</f>
        <v>-22796.845661411789</v>
      </c>
      <c r="E626" s="96">
        <f>IF(SUM(B619:E619)+SUM(A626:D626)&gt;0,0,SUM(B619:E619)-SUM(A626:D626))</f>
        <v>-26263.326716493568</v>
      </c>
      <c r="F626" s="96">
        <f>IF(SUM(B619:F619)+SUM(A626:E626)&gt;0,0,SUM(B619:F619)-SUM(A626:E626))</f>
        <v>-29864.941751558261</v>
      </c>
      <c r="G626" s="96">
        <f>IF(SUM(B619:G619)+SUM(A626:F626)&gt;0,0,SUM(B619:G619)-SUM(A626:F626))</f>
        <v>-33607.636661725148</v>
      </c>
      <c r="H626" s="96">
        <f>IF(SUM(B619:H619)+SUM(A626:G626)&gt;0,0,SUM(B619:H619)-SUM(A626:G626))</f>
        <v>-37497.618961498665</v>
      </c>
      <c r="I626" s="96">
        <f>IF(SUM(B619:I619)+SUM(A626:H626)&gt;0,0,SUM(B619:I619)-SUM(A626:H626))</f>
        <v>-41541.369296021585</v>
      </c>
      <c r="J626" s="96">
        <f>IF(SUM(B619:J619)+SUM(A626:I626)&gt;0,0,SUM(B619:J619)-SUM(A626:I626))</f>
        <v>-45745.65345882281</v>
      </c>
      <c r="K626" s="96">
        <f>IF(SUM(B619:K619)+SUM(A626:J626)&gt;0,0,SUM(B619:K619)-SUM(A626:J626))</f>
        <v>-50117.534938346595</v>
      </c>
      <c r="L626" s="96">
        <f>IF(SUM(B619:L619)+SUM(A626:K626)&gt;0,0,SUM(B619:L619)-SUM(A626:K626))</f>
        <v>-54664.388016528799</v>
      </c>
      <c r="M626" s="96">
        <f>IF(SUM(B619:M619)+SUM(A626:L626)&gt;0,0,SUM(B619:M619)-SUM(A626:L626))</f>
        <v>-59393.911443710327</v>
      </c>
      <c r="N626" s="96">
        <f>IF(SUM(B619:N619)+SUM(A626:M626)&gt;0,0,SUM(B619:N619)-SUM(A626:M626))</f>
        <v>-64314.142715247115</v>
      </c>
      <c r="O626" s="96">
        <f>IF(SUM(B619:O619)+SUM(A626:N626)&gt;0,0,SUM(B619:O619)-SUM(A626:N626))</f>
        <v>-69433.472976290912</v>
      </c>
      <c r="P626" s="96">
        <f>IF(SUM(B619:P619)+SUM(A626:O626)&gt;0,0,SUM(B619:P619)-SUM(A626:O626))</f>
        <v>-74760.662582379882</v>
      </c>
      <c r="Q626" s="96">
        <f>IF(SUM(B619:Q619)+SUM(A626:P626)&gt;0,0,SUM(B619:Q619)-SUM(A626:P626))</f>
        <v>-80304.857344696182</v>
      </c>
      <c r="R626" s="96">
        <f>IF(SUM(B619:R619)+SUM(A626:Q626)&gt;0,0,SUM(B619:R619)-SUM(A626:Q626))</f>
        <v>-86075.605490113609</v>
      </c>
      <c r="S626" s="96">
        <f>IF(SUM(B619:S619)+SUM(A626:R626)&gt;0,0,SUM(B619:S619)-SUM(A626:R626))</f>
        <v>-127619.82452003122</v>
      </c>
      <c r="T626" s="96">
        <f>IF(SUM(B619:T619)+SUM(A626:S626)&gt;0,0,SUM(B619:T619)-SUM(A626:S626))</f>
        <v>-133478.76884828205</v>
      </c>
      <c r="U626" s="96">
        <f>IF(SUM(B619:U619)+SUM(A626:T626)&gt;0,0,SUM(B619:U619)-SUM(A626:T626))</f>
        <v>-139595.50672697602</v>
      </c>
      <c r="V626" s="96">
        <f>IF(SUM(B619:V619)+SUM(A626:U626)&gt;0,0,SUM(B619:V619)-SUM(A626:U626))</f>
        <v>-145981.38107233238</v>
      </c>
      <c r="W626" s="96">
        <f>IF(SUM(B619:W619)+SUM(A626:V626)&gt;0,0,SUM(B619:W619)-SUM(A626:V626))</f>
        <v>-152648.23388888454</v>
      </c>
      <c r="X626" s="96">
        <f>IF(SUM(B619:X619)+SUM(A626:W626)&gt;0,0,SUM(B619:X619)-SUM(A626:W626))</f>
        <v>-159608.4282293648</v>
      </c>
      <c r="Y626" s="96">
        <f>IF(SUM(B619:Y619)+SUM(A626:X626)&gt;0,0,SUM(B619:Y619)-SUM(A626:X626))</f>
        <v>-166874.87112082634</v>
      </c>
      <c r="Z626" s="96">
        <f>IF(SUM(B619:Z619)+SUM(A626:Y626)&gt;0,0,SUM(B619:Z619)-SUM(A626:Y626))</f>
        <v>-174461.03749951231</v>
      </c>
      <c r="AA626" s="96">
        <f>IF(SUM(B619:AA619)+SUM(A626:Z626)&gt;0,0,SUM(B619:AA619)-SUM(A626:Z626))</f>
        <v>-182380.99519886053</v>
      </c>
    </row>
    <row r="627" spans="1:27" hidden="1">
      <c r="A627" s="97" t="s">
        <v>38</v>
      </c>
      <c r="B627" s="101">
        <f>IF(((SUM(B606:B606)+SUM(B608:B612))+SUM(B629:B629))&lt;0,((SUM(B606:B606)+SUM(B608:B612))+SUM(B629:B629))*0.18-SUM(A627:A627),IF(SUM(A627:B627)&lt;0,0-SUM(A627:B627),0))</f>
        <v>-485084.74576271186</v>
      </c>
      <c r="C627" s="101">
        <f>IF(((SUM(B606:C606)+SUM(B608:C612))+SUM(B629:C629))&lt;0,((SUM(B606:C606)+SUM(B608:C612))+SUM(B629:C629))*0.18-SUM(A627:B627),IF(SUM(B627:B627)&lt;0,0-SUM(B627:B627),0))</f>
        <v>60172.939220094937</v>
      </c>
      <c r="D627" s="101">
        <f>IF(((SUM(B606:D606)+SUM(B608:D612))+SUM(B629:D629))&lt;0,((SUM(B606:D606)+SUM(B608:D612))+SUM(B629:D629))*0.18-SUM(A627:C627),IF(SUM(B627:C627)&lt;0,0-SUM(B627:C627),0))</f>
        <v>62820.548545779078</v>
      </c>
      <c r="E627" s="101">
        <f>IF(((SUM(B606:E606)+SUM(B608:E612))+SUM(B629:E629))&lt;0,((SUM(B606:E606)+SUM(B608:E612))+SUM(B629:E629))*0.18-SUM(A627:D627),IF(SUM(B627:D627)&lt;0,0-SUM(B627:D627),0))</f>
        <v>65584.652681793319</v>
      </c>
      <c r="F627" s="101">
        <f>IF(((SUM(B606:F606)+SUM(B608:F612))+SUM(B629:F629))&lt;0,((SUM(B606:F606)+SUM(B608:F612))+SUM(B629:F629))*0.18-SUM(A627:E627),IF(SUM(B627:E627)&lt;0,0-SUM(B627:E627),0))</f>
        <v>68470.377399792313</v>
      </c>
      <c r="G627" s="101">
        <f>IF(((SUM(B606:G606)+SUM(B608:G612))+SUM(B629:G629))&lt;0,((SUM(B606:G606)+SUM(B608:G612))+SUM(B629:G629))*0.18-SUM(A627:F627),IF(SUM(B627:F627)&lt;0,0-SUM(B627:F627),0))</f>
        <v>71483.074005383096</v>
      </c>
      <c r="H627" s="101">
        <f>IF(((SUM(B606:H606)+SUM(B608:H612))+SUM(B629:H629))&lt;0,((SUM(B606:H606)+SUM(B608:H612))+SUM(B629:H629))*0.18-SUM(A627:G627),IF(SUM(B627:G627)&lt;0,0-SUM(B627:G627),0))</f>
        <v>74628.329261619991</v>
      </c>
      <c r="I627" s="101">
        <f>IF(((SUM(B606:I606)+SUM(B608:I612))+SUM(B629:I629))&lt;0,((SUM(B606:I606)+SUM(B608:I612))+SUM(B629:I629))*0.18-SUM(A627:H627),IF(SUM(B627:H627)&lt;0,0-SUM(B627:H627),0))</f>
        <v>77911.975749131234</v>
      </c>
      <c r="J627" s="101">
        <f>IF(((SUM(B606:J606)+SUM(B608:J612))+SUM(B629:J629))&lt;0,((SUM(B606:J606)+SUM(B608:J612))+SUM(B629:J629))*0.18-SUM(A627:I627),IF(SUM(B627:I627)&lt;0,0-SUM(B627:I627),0))</f>
        <v>4012.8488991178892</v>
      </c>
      <c r="K627" s="101">
        <f>IF(((SUM(B606:K606)+SUM(B608:K612))+SUM(B629:K629))&lt;0,((SUM(B606:K606)+SUM(B608:K612))+SUM(B629:K629))*0.18-SUM(A627:J627),IF(SUM(B627:J627)&lt;0,0-SUM(B627:J627),0))</f>
        <v>0</v>
      </c>
      <c r="L627" s="101">
        <f>IF(((SUM(B606:L606)+SUM(B608:L612))+SUM(B629:L629))&lt;0,((SUM(B606:L606)+SUM(B608:L612))+SUM(B629:L629))*0.18-SUM(A627:K627),IF(SUM(B627:K627)&lt;0,0-SUM(B627:K627),0))</f>
        <v>0</v>
      </c>
      <c r="M627" s="101">
        <f>IF(((SUM(B606:M606)+SUM(B608:M612))+SUM(B629:M629))&lt;0,((SUM(B606:M606)+SUM(B608:M612))+SUM(B629:M629))*0.18-SUM(A627:L627),IF(SUM(B627:L627)&lt;0,0-SUM(B627:L627),0))</f>
        <v>0</v>
      </c>
      <c r="N627" s="101">
        <f>IF(((SUM(B606:N606)+SUM(B608:N612))+SUM(B629:N629))&lt;0,((SUM(B606:N606)+SUM(B608:N612))+SUM(B629:N629))*0.18-SUM(A627:M627),IF(SUM(B627:M627)&lt;0,0-SUM(B627:M627),0))</f>
        <v>0</v>
      </c>
      <c r="O627" s="101">
        <f>IF(((SUM(B606:O606)+SUM(B608:O612))+SUM(B629:O629))&lt;0,((SUM(B606:O606)+SUM(B608:O612))+SUM(B629:O629))*0.18-SUM(A627:N627),IF(SUM(B627:N627)&lt;0,0-SUM(B627:N627),0))</f>
        <v>0</v>
      </c>
      <c r="P627" s="101">
        <f>IF(((SUM(B606:P606)+SUM(B608:P612))+SUM(B629:P629))&lt;0,((SUM(B606:P606)+SUM(B608:P612))+SUM(B629:P629))*0.18-SUM(A627:O627),IF(SUM(B627:O627)&lt;0,0-SUM(B627:O627),0))</f>
        <v>0</v>
      </c>
      <c r="Q627" s="101">
        <f>IF(((SUM(B606:Q606)+SUM(B608:Q612))+SUM(B629:Q629))&lt;0,((SUM(B606:Q606)+SUM(B608:Q612))+SUM(B629:Q629))*0.18-SUM(A627:P627),IF(SUM(B627:P627)&lt;0,0-SUM(B627:P627),0))</f>
        <v>0</v>
      </c>
      <c r="R627" s="101">
        <f>IF(((SUM(B606:R606)+SUM(B608:R612))+SUM(B629:R629))&lt;0,((SUM(B606:R606)+SUM(B608:R612))+SUM(B629:R629))*0.18-SUM(A627:Q627),IF(SUM(B627:Q627)&lt;0,0-SUM(B627:Q627),0))</f>
        <v>0</v>
      </c>
      <c r="S627" s="101">
        <f>IF(((SUM(B606:S606)+SUM(B608:S612))+SUM(B629:S629))&lt;0,((SUM(B606:S606)+SUM(B608:S612))+SUM(B629:S629))*0.18-SUM(A627:R627),IF(SUM(B627:R627)&lt;0,0-SUM(B627:R627),0))</f>
        <v>0</v>
      </c>
      <c r="T627" s="101">
        <f>IF(((SUM(B606:T606)+SUM(B608:T612))+SUM(B629:T629))&lt;0,((SUM(B606:T606)+SUM(B608:T612))+SUM(B629:T629))*0.18-SUM(A627:S627),IF(SUM(B627:S627)&lt;0,0-SUM(B627:S627),0))</f>
        <v>0</v>
      </c>
      <c r="U627" s="101">
        <f>IF(((SUM(B606:U606)+SUM(B608:U612))+SUM(B629:U629))&lt;0,((SUM(B606:U606)+SUM(B608:U612))+SUM(B629:U629))*0.18-SUM(A627:T627),IF(SUM(B627:T627)&lt;0,0-SUM(B627:T627),0))</f>
        <v>0</v>
      </c>
      <c r="V627" s="101">
        <f>IF(((SUM(B606:V606)+SUM(B608:V612))+SUM(B629:V629))&lt;0,((SUM(B606:V606)+SUM(B608:V612))+SUM(B629:V629))*0.18-SUM(A627:U627),IF(SUM(B627:U627)&lt;0,0-SUM(B627:U627),0))</f>
        <v>0</v>
      </c>
      <c r="W627" s="101">
        <f>IF(((SUM(B606:W606)+SUM(B608:W612))+SUM(B629:W629))&lt;0,((SUM(B606:W606)+SUM(B608:W612))+SUM(B629:W629))*0.18-SUM(A627:V627),IF(SUM(B627:V627)&lt;0,0-SUM(B627:V627),0))</f>
        <v>0</v>
      </c>
      <c r="X627" s="101">
        <f>IF(((SUM(B606:X606)+SUM(B608:X612))+SUM(B629:X629))&lt;0,((SUM(B606:X606)+SUM(B608:X612))+SUM(B629:X629))*0.18-SUM(A627:W627),IF(SUM(B627:W627)&lt;0,0-SUM(B627:W627),0))</f>
        <v>0</v>
      </c>
      <c r="Y627" s="101">
        <f>IF(((SUM(B606:Y606)+SUM(B608:Y612))+SUM(B629:Y629))&lt;0,((SUM(B606:Y606)+SUM(B608:Y612))+SUM(B629:Y629))*0.18-SUM(A627:X627),IF(SUM(B627:X627)&lt;0,0-SUM(B627:X627),0))</f>
        <v>0</v>
      </c>
      <c r="Z627" s="101">
        <f>IF(((SUM(B606:Z606)+SUM(B608:Z612))+SUM(B629:Z629))&lt;0,((SUM(B606:Z606)+SUM(B608:Z612))+SUM(B629:Z629))*0.18-SUM(A627:Y627),IF(SUM(B627:Y627)&lt;0,0-SUM(B627:Y627),0))</f>
        <v>0</v>
      </c>
      <c r="AA627" s="101">
        <f>IF(((SUM(B606:AA606)+SUM(B608:AA612))+SUM(B629:AA629))&lt;0,((SUM(B606:AA606)+SUM(B608:AA612))+SUM(B629:AA629))*0.18-SUM(A627:Z627),IF(SUM(B627:Z627)&lt;0,0-SUM(B627:Z627),0))</f>
        <v>0</v>
      </c>
    </row>
    <row r="628" spans="1:27" hidden="1">
      <c r="A628" s="97" t="s">
        <v>39</v>
      </c>
      <c r="B628" s="96">
        <f>-B606*(B586)</f>
        <v>0</v>
      </c>
      <c r="C628" s="96">
        <f>-(C606-B606)*B586</f>
        <v>-34764.406779661011</v>
      </c>
      <c r="D628" s="96">
        <f>-(D606-C606)*B586</f>
        <v>-1529.6338983050839</v>
      </c>
      <c r="E628" s="96">
        <f>-(E606-D606)*B586</f>
        <v>-1596.9377898305074</v>
      </c>
      <c r="F628" s="96">
        <f>-(F606-E606)*B586</f>
        <v>-1667.2030525830517</v>
      </c>
      <c r="G628" s="96">
        <f>-(G606-F606)*B586</f>
        <v>-1740.5599868967083</v>
      </c>
      <c r="H628" s="96">
        <f>-(H606-G606)*B586</f>
        <v>-1817.1446263201594</v>
      </c>
      <c r="I628" s="96">
        <f>-(I606-H606)*B586</f>
        <v>-1897.0989898782516</v>
      </c>
      <c r="J628" s="96">
        <f>-(J606-I606)*B586</f>
        <v>-1980.5713454328943</v>
      </c>
      <c r="K628" s="96">
        <f>-(K606-J606)*B586</f>
        <v>-2067.7164846319415</v>
      </c>
      <c r="L628" s="96">
        <f>-(L606-K606)*B586</f>
        <v>-2158.6960099557473</v>
      </c>
      <c r="M628" s="96">
        <f>-(M606-L606)*B586</f>
        <v>-2253.6786343938033</v>
      </c>
      <c r="N628" s="96">
        <f>-(N606-M606)*B586</f>
        <v>-2352.8404943071305</v>
      </c>
      <c r="O628" s="96">
        <f>-(O606-N606)*B586</f>
        <v>-2456.3654760566424</v>
      </c>
      <c r="P628" s="96">
        <f>-(P606-O606)*B586</f>
        <v>-2564.4455570031309</v>
      </c>
      <c r="Q628" s="96">
        <f>-(Q606-P606)*B586</f>
        <v>-2677.2811615112705</v>
      </c>
      <c r="R628" s="96">
        <f>-(R606-Q606)*B586</f>
        <v>-2795.0815326177635</v>
      </c>
      <c r="S628" s="96">
        <f>-(S606-R606)*B586</f>
        <v>-2918.0651200529423</v>
      </c>
      <c r="T628" s="96">
        <f>-(T606-S606)*B586</f>
        <v>-3046.4599853352761</v>
      </c>
      <c r="U628" s="96">
        <f>-(U606-T606)*B586</f>
        <v>-3180.5042246900266</v>
      </c>
      <c r="V628" s="96">
        <f>-(V606-U606)*B586</f>
        <v>-3320.4464105763941</v>
      </c>
      <c r="W628" s="96">
        <f>-(W606-V606)*B586</f>
        <v>-3466.5460526417478</v>
      </c>
      <c r="X628" s="96">
        <f>-(X606-W606)*B586</f>
        <v>-3619.0740789579927</v>
      </c>
      <c r="Y628" s="96">
        <f>-(Y606-X606)*B586</f>
        <v>-3778.3133384321354</v>
      </c>
      <c r="Z628" s="96">
        <f>-(Z606-Y606)*B586</f>
        <v>-3944.5591253231514</v>
      </c>
      <c r="AA628" s="96">
        <f>-(AA606-Z606)*B586</f>
        <v>-4118.119726837368</v>
      </c>
    </row>
    <row r="629" spans="1:27" hidden="1">
      <c r="A629" s="97" t="s">
        <v>40</v>
      </c>
      <c r="B629" s="96">
        <f>-(B572+B573)*B575</f>
        <v>-2694915.2542372881</v>
      </c>
      <c r="C629" s="96"/>
      <c r="D629" s="96"/>
      <c r="E629" s="96"/>
      <c r="F629" s="96"/>
      <c r="G629" s="96"/>
      <c r="H629" s="96"/>
      <c r="I629" s="96"/>
      <c r="J629" s="96"/>
      <c r="K629" s="96"/>
      <c r="L629" s="96"/>
      <c r="M629" s="96"/>
      <c r="N629" s="96"/>
      <c r="O629" s="96"/>
      <c r="P629" s="96"/>
      <c r="Q629" s="96"/>
      <c r="R629" s="96"/>
      <c r="S629" s="96"/>
      <c r="T629" s="96"/>
      <c r="U629" s="96"/>
      <c r="V629" s="96"/>
      <c r="W629" s="96"/>
      <c r="X629" s="96"/>
      <c r="Y629" s="96"/>
      <c r="Z629" s="96"/>
      <c r="AA629" s="96"/>
    </row>
    <row r="630" spans="1:27" hidden="1">
      <c r="A630" s="97" t="s">
        <v>41</v>
      </c>
      <c r="B630" s="96">
        <f t="shared" ref="B630:AA630" si="1930">B601-B602</f>
        <v>0</v>
      </c>
      <c r="C630" s="96">
        <f t="shared" si="1930"/>
        <v>0</v>
      </c>
      <c r="D630" s="96">
        <f t="shared" si="1930"/>
        <v>0</v>
      </c>
      <c r="E630" s="96">
        <f t="shared" si="1930"/>
        <v>0</v>
      </c>
      <c r="F630" s="96">
        <f t="shared" si="1930"/>
        <v>0</v>
      </c>
      <c r="G630" s="96">
        <f t="shared" si="1930"/>
        <v>0</v>
      </c>
      <c r="H630" s="96">
        <f t="shared" si="1930"/>
        <v>0</v>
      </c>
      <c r="I630" s="96">
        <f t="shared" si="1930"/>
        <v>0</v>
      </c>
      <c r="J630" s="96">
        <f t="shared" si="1930"/>
        <v>0</v>
      </c>
      <c r="K630" s="96">
        <f t="shared" si="1930"/>
        <v>0</v>
      </c>
      <c r="L630" s="96">
        <f t="shared" si="1930"/>
        <v>0</v>
      </c>
      <c r="M630" s="96">
        <f t="shared" si="1930"/>
        <v>0</v>
      </c>
      <c r="N630" s="96">
        <f t="shared" si="1930"/>
        <v>0</v>
      </c>
      <c r="O630" s="96">
        <f t="shared" si="1930"/>
        <v>0</v>
      </c>
      <c r="P630" s="96">
        <f t="shared" si="1930"/>
        <v>0</v>
      </c>
      <c r="Q630" s="96">
        <f t="shared" si="1930"/>
        <v>0</v>
      </c>
      <c r="R630" s="96">
        <f t="shared" si="1930"/>
        <v>0</v>
      </c>
      <c r="S630" s="96">
        <f t="shared" si="1930"/>
        <v>0</v>
      </c>
      <c r="T630" s="96">
        <f t="shared" si="1930"/>
        <v>0</v>
      </c>
      <c r="U630" s="96">
        <f t="shared" si="1930"/>
        <v>0</v>
      </c>
      <c r="V630" s="96">
        <f t="shared" si="1930"/>
        <v>0</v>
      </c>
      <c r="W630" s="96">
        <f t="shared" si="1930"/>
        <v>0</v>
      </c>
      <c r="X630" s="96">
        <f t="shared" si="1930"/>
        <v>0</v>
      </c>
      <c r="Y630" s="96">
        <f t="shared" si="1930"/>
        <v>0</v>
      </c>
      <c r="Z630" s="96">
        <f t="shared" si="1930"/>
        <v>0</v>
      </c>
      <c r="AA630" s="96">
        <f t="shared" si="1930"/>
        <v>0</v>
      </c>
    </row>
    <row r="631" spans="1:27" hidden="1">
      <c r="A631" s="102" t="s">
        <v>42</v>
      </c>
      <c r="B631" s="95">
        <f t="shared" ref="B631:AA631" si="1931">SUM(B623:B630)</f>
        <v>-3182019</v>
      </c>
      <c r="C631" s="95">
        <f t="shared" si="1931"/>
        <v>282908.76252748474</v>
      </c>
      <c r="D631" s="95">
        <f t="shared" si="1931"/>
        <v>332139.31424227374</v>
      </c>
      <c r="E631" s="95">
        <f t="shared" si="1931"/>
        <v>348702.03870708961</v>
      </c>
      <c r="F631" s="95">
        <f t="shared" si="1931"/>
        <v>365923.95830259484</v>
      </c>
      <c r="G631" s="95">
        <f t="shared" si="1931"/>
        <v>383834.07761453942</v>
      </c>
      <c r="H631" s="95">
        <f t="shared" si="1931"/>
        <v>402462.67743044707</v>
      </c>
      <c r="I631" s="95">
        <f t="shared" si="1931"/>
        <v>421841.37089249177</v>
      </c>
      <c r="J631" s="95">
        <f t="shared" si="1931"/>
        <v>364675.90833812876</v>
      </c>
      <c r="K631" s="95">
        <f t="shared" si="1931"/>
        <v>378063.44021790702</v>
      </c>
      <c r="L631" s="95">
        <f t="shared" si="1931"/>
        <v>396159.87300531194</v>
      </c>
      <c r="M631" s="95">
        <f t="shared" si="1931"/>
        <v>414982.98408959998</v>
      </c>
      <c r="N631" s="95">
        <f t="shared" si="1931"/>
        <v>434564.74731583393</v>
      </c>
      <c r="O631" s="95">
        <f t="shared" si="1931"/>
        <v>454938.5433782594</v>
      </c>
      <c r="P631" s="95">
        <f t="shared" si="1931"/>
        <v>476139.22172166896</v>
      </c>
      <c r="Q631" s="95">
        <f t="shared" si="1931"/>
        <v>498203.16516642581</v>
      </c>
      <c r="R631" s="95">
        <f t="shared" si="1931"/>
        <v>521168.35737698927</v>
      </c>
      <c r="S631" s="95">
        <f t="shared" si="1931"/>
        <v>507561.23296007159</v>
      </c>
      <c r="T631" s="95">
        <f t="shared" si="1931"/>
        <v>530868.61540779285</v>
      </c>
      <c r="U631" s="95">
        <f t="shared" si="1931"/>
        <v>555201.52268321358</v>
      </c>
      <c r="V631" s="95">
        <f t="shared" si="1931"/>
        <v>580605.07787875307</v>
      </c>
      <c r="W631" s="95">
        <f t="shared" si="1931"/>
        <v>607126.38950289623</v>
      </c>
      <c r="X631" s="95">
        <f t="shared" si="1931"/>
        <v>634814.63883850176</v>
      </c>
      <c r="Y631" s="95">
        <f t="shared" si="1931"/>
        <v>663721.17114487384</v>
      </c>
      <c r="Z631" s="95">
        <f t="shared" si="1931"/>
        <v>693899.59087272605</v>
      </c>
      <c r="AA631" s="95">
        <f t="shared" si="1931"/>
        <v>725405.86106860382</v>
      </c>
    </row>
    <row r="632" spans="1:27" hidden="1">
      <c r="A632" s="102" t="s">
        <v>43</v>
      </c>
      <c r="B632" s="95">
        <f>SUM(B631:B631)</f>
        <v>-3182019</v>
      </c>
      <c r="C632" s="95">
        <f>SUM(B631:C631)</f>
        <v>-2899110.2374725151</v>
      </c>
      <c r="D632" s="95">
        <f>SUM(B631:D631)</f>
        <v>-2566970.9232302415</v>
      </c>
      <c r="E632" s="95">
        <f>SUM(B631:E631)</f>
        <v>-2218268.8845231519</v>
      </c>
      <c r="F632" s="95">
        <f>SUM(B631:F631)</f>
        <v>-1852344.9262205572</v>
      </c>
      <c r="G632" s="95">
        <f>SUM(B631:G631)</f>
        <v>-1468510.8486060179</v>
      </c>
      <c r="H632" s="95">
        <f>SUM(B631:H631)</f>
        <v>-1066048.1711755707</v>
      </c>
      <c r="I632" s="95">
        <f>SUM(B631:I631)</f>
        <v>-644206.80028307892</v>
      </c>
      <c r="J632" s="95">
        <f>SUM(B631:J631)</f>
        <v>-279530.89194495016</v>
      </c>
      <c r="K632" s="95">
        <f>SUM(B631:K631)</f>
        <v>98532.548272956861</v>
      </c>
      <c r="L632" s="95">
        <f>SUM(B631:L631)</f>
        <v>494692.4212782688</v>
      </c>
      <c r="M632" s="95">
        <f>SUM(B631:M631)</f>
        <v>909675.40536786872</v>
      </c>
      <c r="N632" s="95">
        <f>SUM(B631:N631)</f>
        <v>1344240.1526837028</v>
      </c>
      <c r="O632" s="95">
        <f>SUM(B631:O631)</f>
        <v>1799178.6960619623</v>
      </c>
      <c r="P632" s="95">
        <f>SUM(B631:P631)</f>
        <v>2275317.917783631</v>
      </c>
      <c r="Q632" s="95">
        <f>SUM(B631:Q631)</f>
        <v>2773521.082950057</v>
      </c>
      <c r="R632" s="95">
        <f>SUM(B631:R631)</f>
        <v>3294689.4403270464</v>
      </c>
      <c r="S632" s="95">
        <f>SUM(B631:S631)</f>
        <v>3802250.6732871179</v>
      </c>
      <c r="T632" s="95">
        <f>SUM(B631:T631)</f>
        <v>4333119.2886949107</v>
      </c>
      <c r="U632" s="95">
        <f>SUM(B631:U631)</f>
        <v>4888320.8113781242</v>
      </c>
      <c r="V632" s="95">
        <f>SUM(B631:V631)</f>
        <v>5468925.8892568769</v>
      </c>
      <c r="W632" s="95">
        <f>SUM(B631:W631)</f>
        <v>6076052.2787597729</v>
      </c>
      <c r="X632" s="95">
        <f>SUM(B631:X631)</f>
        <v>6710866.9175982745</v>
      </c>
      <c r="Y632" s="95">
        <f>SUM(B631:Y631)</f>
        <v>7374588.0887431484</v>
      </c>
      <c r="Z632" s="95">
        <f>SUM(B631:Z631)</f>
        <v>8068487.6796158748</v>
      </c>
      <c r="AA632" s="95">
        <f>SUM(B631:AA631)</f>
        <v>8793893.5406844784</v>
      </c>
    </row>
    <row r="633" spans="1:27" hidden="1">
      <c r="A633" s="103" t="s">
        <v>44</v>
      </c>
      <c r="B633" s="104">
        <f>1/POWER((1+B591),B621)</f>
        <v>1</v>
      </c>
      <c r="C633" s="104">
        <f>1/POWER((1+B591),C621)</f>
        <v>0.92250922509225086</v>
      </c>
      <c r="D633" s="104">
        <f>1/POWER((1+B591),D621)</f>
        <v>0.85102327038030523</v>
      </c>
      <c r="E633" s="104">
        <f>1/POWER((1+B591),E621)</f>
        <v>0.78507681769400839</v>
      </c>
      <c r="F633" s="104">
        <f>1/POWER((1+B591),F621)</f>
        <v>0.72424060672879009</v>
      </c>
      <c r="G633" s="104">
        <f>1/POWER((1+B591),G621)</f>
        <v>0.66811864089371786</v>
      </c>
      <c r="H633" s="104">
        <f>1/POWER((1+B591),H621)</f>
        <v>0.61634560968055141</v>
      </c>
      <c r="I633" s="104">
        <f>1/POWER((1+B591),I621)</f>
        <v>0.56858451077541639</v>
      </c>
      <c r="J633" s="104">
        <f>1/POWER((1+B591),J621)</f>
        <v>0.5245244564348861</v>
      </c>
      <c r="K633" s="104">
        <f>1/POWER((1+B591),K621)</f>
        <v>0.48387864984768086</v>
      </c>
      <c r="L633" s="104">
        <f>1/POWER((1+B591),L621)</f>
        <v>0.44638251830966863</v>
      </c>
      <c r="M633" s="104">
        <f>1/POWER((1+B591),M621)</f>
        <v>0.41179199106057984</v>
      </c>
      <c r="N633" s="104">
        <f>1/POWER((1+B591),N621)</f>
        <v>0.37988191057249071</v>
      </c>
      <c r="O633" s="104">
        <f>1/POWER((1+B591),O621)</f>
        <v>0.35044456694879217</v>
      </c>
      <c r="P633" s="104">
        <f>1/POWER((1+B591),P621)</f>
        <v>0.32328834589371969</v>
      </c>
      <c r="Q633" s="104">
        <f>1/POWER((1+B591),Q621)</f>
        <v>0.2982364814517709</v>
      </c>
      <c r="R633" s="104">
        <f>1/POWER((1+B591),R621)</f>
        <v>0.27512590539831266</v>
      </c>
      <c r="S633" s="104">
        <f>1/POWER((1+B591),S621)</f>
        <v>0.25380618579180131</v>
      </c>
      <c r="T633" s="104">
        <f>1/POWER((1+B591),T621)</f>
        <v>0.2341385477784145</v>
      </c>
      <c r="U633" s="104">
        <f>1/POWER((1+B591),U621)</f>
        <v>0.21599497027529013</v>
      </c>
      <c r="V633" s="104">
        <f>1/POWER((1+B591),V621)</f>
        <v>0.19925735265248168</v>
      </c>
      <c r="W633" s="104">
        <f>1/POWER((1+B591),W621)</f>
        <v>0.18381674598937425</v>
      </c>
      <c r="X633" s="104">
        <f>1/POWER((1+B591),X621)</f>
        <v>0.16957264390163673</v>
      </c>
      <c r="Y633" s="104">
        <f>1/POWER((1+B591),Y621)</f>
        <v>0.15643232832254311</v>
      </c>
      <c r="Z633" s="104">
        <f>1/POWER((1+B591),Z621)</f>
        <v>0.14431026598020583</v>
      </c>
      <c r="AA633" s="104">
        <f>1/POWER((1+B591),AA621)</f>
        <v>0.13312755164225631</v>
      </c>
    </row>
    <row r="634" spans="1:27" hidden="1">
      <c r="A634" s="105" t="s">
        <v>45</v>
      </c>
      <c r="B634" s="106">
        <f t="shared" ref="B634:AA634" si="1932">B631*B633</f>
        <v>-3182019</v>
      </c>
      <c r="C634" s="106">
        <f t="shared" si="1932"/>
        <v>260985.94329103758</v>
      </c>
      <c r="D634" s="106">
        <f t="shared" si="1932"/>
        <v>282658.2854283317</v>
      </c>
      <c r="E634" s="106">
        <f t="shared" si="1932"/>
        <v>273757.88687157485</v>
      </c>
      <c r="F634" s="106">
        <f t="shared" si="1932"/>
        <v>265016.98957767175</v>
      </c>
      <c r="G634" s="106">
        <f t="shared" si="1932"/>
        <v>256446.7022645199</v>
      </c>
      <c r="H634" s="106">
        <f t="shared" si="1932"/>
        <v>248056.10429453599</v>
      </c>
      <c r="I634" s="106">
        <f t="shared" si="1932"/>
        <v>239852.4694937384</v>
      </c>
      <c r="J634" s="106">
        <f t="shared" si="1932"/>
        <v>191281.43259595532</v>
      </c>
      <c r="K634" s="106">
        <f t="shared" si="1932"/>
        <v>182936.82700941025</v>
      </c>
      <c r="L634" s="106">
        <f t="shared" si="1932"/>
        <v>176838.84176534964</v>
      </c>
      <c r="M634" s="106">
        <f t="shared" si="1932"/>
        <v>170886.66927451731</v>
      </c>
      <c r="N634" s="106">
        <f t="shared" si="1932"/>
        <v>165083.28647779065</v>
      </c>
      <c r="O634" s="106">
        <f t="shared" si="1932"/>
        <v>159430.74082250841</v>
      </c>
      <c r="P634" s="106">
        <f t="shared" si="1932"/>
        <v>153930.26140552139</v>
      </c>
      <c r="Q634" s="106">
        <f t="shared" si="1932"/>
        <v>148582.35902737032</v>
      </c>
      <c r="R634" s="106">
        <f t="shared" si="1932"/>
        <v>143386.91618829555</v>
      </c>
      <c r="S634" s="106">
        <f t="shared" si="1932"/>
        <v>128822.18059337967</v>
      </c>
      <c r="T634" s="106">
        <f t="shared" si="1932"/>
        <v>124296.80667271826</v>
      </c>
      <c r="U634" s="106">
        <f t="shared" si="1932"/>
        <v>119920.73638875654</v>
      </c>
      <c r="V634" s="106">
        <f t="shared" si="1932"/>
        <v>115689.83075470829</v>
      </c>
      <c r="W634" s="106">
        <f t="shared" si="1932"/>
        <v>111599.99732269977</v>
      </c>
      <c r="X634" s="106">
        <f t="shared" si="1932"/>
        <v>107647.19669530739</v>
      </c>
      <c r="Y634" s="106">
        <f t="shared" si="1932"/>
        <v>103827.44815915774</v>
      </c>
      <c r="Z634" s="106">
        <f t="shared" si="1932"/>
        <v>100136.83452239911</v>
      </c>
      <c r="AA634" s="106">
        <f t="shared" si="1932"/>
        <v>96571.506231005958</v>
      </c>
    </row>
    <row r="635" spans="1:27" hidden="1">
      <c r="A635" s="105" t="s">
        <v>46</v>
      </c>
      <c r="B635" s="106">
        <f>SUM(B634:B634)</f>
        <v>-3182019</v>
      </c>
      <c r="C635" s="106">
        <f>SUM(B634:C634)</f>
        <v>-2921033.0567089627</v>
      </c>
      <c r="D635" s="106">
        <f>SUM(B634:D634)</f>
        <v>-2638374.771280631</v>
      </c>
      <c r="E635" s="106">
        <f>SUM(B634:E634)</f>
        <v>-2364616.884409056</v>
      </c>
      <c r="F635" s="106">
        <f>SUM(B634:F634)</f>
        <v>-2099599.8948313845</v>
      </c>
      <c r="G635" s="106">
        <f>SUM(B634:G634)</f>
        <v>-1843153.1925668647</v>
      </c>
      <c r="H635" s="106">
        <f>SUM(B634:H634)</f>
        <v>-1595097.0882723287</v>
      </c>
      <c r="I635" s="106">
        <f>SUM(B634:I634)</f>
        <v>-1355244.6187785903</v>
      </c>
      <c r="J635" s="106">
        <f>SUM(B634:J634)</f>
        <v>-1163963.1861826349</v>
      </c>
      <c r="K635" s="106">
        <f>SUM(B634:K634)</f>
        <v>-981026.35917322466</v>
      </c>
      <c r="L635" s="106">
        <f>SUM(B634:L634)</f>
        <v>-804187.51740787504</v>
      </c>
      <c r="M635" s="106">
        <f>SUM(B634:M634)</f>
        <v>-633300.84813335771</v>
      </c>
      <c r="N635" s="106">
        <f>SUM(B634:N634)</f>
        <v>-468217.56165556703</v>
      </c>
      <c r="O635" s="106">
        <f>SUM(B634:O634)</f>
        <v>-308786.82083305862</v>
      </c>
      <c r="P635" s="106">
        <f>SUM(B634:P634)</f>
        <v>-154856.55942753723</v>
      </c>
      <c r="Q635" s="106">
        <f>SUM(B634:Q634)</f>
        <v>-6274.200400166912</v>
      </c>
      <c r="R635" s="106">
        <f>SUM(B634:R634)</f>
        <v>137112.71578812864</v>
      </c>
      <c r="S635" s="106">
        <f>SUM(B634:S634)</f>
        <v>265934.89638150833</v>
      </c>
      <c r="T635" s="106">
        <f>SUM(B634:T634)</f>
        <v>390231.70305422659</v>
      </c>
      <c r="U635" s="106">
        <f>SUM(B634:U634)</f>
        <v>510152.43944298313</v>
      </c>
      <c r="V635" s="106">
        <f>SUM(B634:V634)</f>
        <v>625842.2701976914</v>
      </c>
      <c r="W635" s="106">
        <f>SUM(B634:W634)</f>
        <v>737442.26752039115</v>
      </c>
      <c r="X635" s="106">
        <f>SUM(B634:X634)</f>
        <v>845089.46421569854</v>
      </c>
      <c r="Y635" s="106">
        <f>SUM(B634:Y634)</f>
        <v>948916.9123748563</v>
      </c>
      <c r="Z635" s="106">
        <f>SUM(B634:Z634)</f>
        <v>1049053.7468972553</v>
      </c>
      <c r="AA635" s="106">
        <f>SUM(B634:AA634)</f>
        <v>1145625.2531282613</v>
      </c>
    </row>
    <row r="636" spans="1:27" hidden="1">
      <c r="A636" s="105" t="s">
        <v>47</v>
      </c>
      <c r="B636" s="107">
        <f>IF((ISERR(IRR(B631:B631))),0,IF(IRR(B631:B631)&lt;0,0,IRR(B631:B631)))</f>
        <v>0</v>
      </c>
      <c r="C636" s="107">
        <f>IF((ISERR(IRR(B631:C631))),0,IF(IRR(B631:C631)&lt;0,0,IRR(B631:C631)))</f>
        <v>0</v>
      </c>
      <c r="D636" s="107">
        <f>IF((ISERR(IRR(B631:D631))),0,IF(IRR(B631:D631)&lt;0,0,IRR(B631:D631)))</f>
        <v>0</v>
      </c>
      <c r="E636" s="107">
        <f>IF((ISERR(IRR(B631:E631))),0,IF(IRR(B631:E631)&lt;0,0,IRR(B631:E631)))</f>
        <v>0</v>
      </c>
      <c r="F636" s="107">
        <f>IF((ISERR(IRR(B631:F631))),0,IF(IRR(B631:F631)&lt;0,0,IRR(B631:F631)))</f>
        <v>0</v>
      </c>
      <c r="G636" s="107">
        <f>IF((ISERR(IRR(B631:G631))),0,IF(IRR(B631:G631)&lt;0,0,IRR(B631:G631)))</f>
        <v>0</v>
      </c>
      <c r="H636" s="107">
        <f>IF((ISERR(IRR(B631:H631))),0,IF(IRR(B631:H631)&lt;0,0,IRR(B631:H631)))</f>
        <v>0</v>
      </c>
      <c r="I636" s="107">
        <f>IF((ISERR(IRR(B631:I631))),0,IF(IRR(B631:I631)&lt;0,0,IRR(B631:I631)))</f>
        <v>0</v>
      </c>
      <c r="J636" s="107">
        <f>IF((ISERR(IRR(B631:J631))),0,IF(IRR(B631:J631)&lt;0,0,IRR(B631:J631)))</f>
        <v>0</v>
      </c>
      <c r="K636" s="107">
        <f>IF((ISERR(IRR(B631:K631))),0,IF(IRR(B631:K631)&lt;0,0,IRR(B631:K631)))</f>
        <v>5.9010663660845619E-3</v>
      </c>
      <c r="L636" s="107">
        <f>IF((ISERR(IRR(B631:L631))),0,IF(IRR(B631:L631)&lt;0,0,IRR(B631:L631)))</f>
        <v>2.6055044481783085E-2</v>
      </c>
      <c r="M636" s="107">
        <f>IF((ISERR(IRR(B631:M631))),0,IF(IRR(B631:M631)&lt;0,0,IRR(B631:M631)))</f>
        <v>4.2397344816090143E-2</v>
      </c>
      <c r="N636" s="107">
        <f>IF((ISERR(IRR(B631:N631))),0,IF(IRR(B631:N631)&lt;0,0,IRR(B631:N631)))</f>
        <v>5.5767770530685157E-2</v>
      </c>
      <c r="O636" s="107">
        <f>IF((ISERR(IRR(B631:O631))),0,IF(IRR(B631:O631)&lt;0,0,IRR(B631:O631)))</f>
        <v>6.6804185498497981E-2</v>
      </c>
      <c r="P636" s="107">
        <f>IF((ISERR(IRR(B631:P631))),0,IF(IRR(B631:P631)&lt;0,0,IRR(B631:P631)))</f>
        <v>7.5990747592182384E-2</v>
      </c>
      <c r="Q636" s="107">
        <f>IF((ISERR(IRR(B631:Q631))),0,IF(IRR(B631:Q631)&lt;0,0,IRR(B631:Q631)))</f>
        <v>8.3697084379813269E-2</v>
      </c>
      <c r="R636" s="107">
        <f>IF((ISERR(IRR(B631:R631))),0,IF(IRR(B631:R631)&lt;0,0,IRR(B631:R631)))</f>
        <v>9.0207802049706576E-2</v>
      </c>
      <c r="S636" s="107">
        <f>IF((ISERR(IRR(B631:S631))),0,IF(IRR(B631:S631)&lt;0,0,IRR(B631:S631)))</f>
        <v>9.5382752778832236E-2</v>
      </c>
      <c r="T636" s="107">
        <f>IF((ISERR(IRR(B631:T631))),0,IF(IRR(B631:T631)&lt;0,0,IRR(B631:T631)))</f>
        <v>9.9841220257632646E-2</v>
      </c>
      <c r="U636" s="107">
        <f>IF((ISERR(IRR(B631:U631))),0,IF(IRR(B631:U631)&lt;0,0,IRR(B631:U631)))</f>
        <v>0.10369929425122959</v>
      </c>
      <c r="V636" s="107">
        <f>IF((ISERR(IRR(B631:V631))),0,IF(IRR(B631:V631)&lt;0,0,IRR(B631:V631)))</f>
        <v>0.10705166946781297</v>
      </c>
      <c r="W636" s="107">
        <f>IF((ISERR(IRR(B631:W631))),0,IF(IRR(B631:W631)&lt;0,0,IRR(B631:W631)))</f>
        <v>0.10997593985621945</v>
      </c>
      <c r="X636" s="107">
        <f>IF((ISERR(IRR(B631:X631))),0,IF(IRR(B631:X631)&lt;0,0,IRR(B631:X631)))</f>
        <v>0.11253600880414383</v>
      </c>
      <c r="Y636" s="107">
        <f>IF((ISERR(IRR(B631:Y631))),0,IF(IRR(B631:Y631)&lt;0,0,IRR(B631:Y631)))</f>
        <v>0.1147847817052241</v>
      </c>
      <c r="Z636" s="107">
        <f>IF((ISERR(IRR(B631:Z631))),0,IF(IRR(B631:Z631)&lt;0,0,IRR(B631:Z631)))</f>
        <v>0.116766289794064</v>
      </c>
      <c r="AA636" s="107">
        <f>IF((ISERR(IRR(B631:AA631))),0,IF(IRR(B631:AA631)&lt;0,0,IRR(B631:AA631)))</f>
        <v>0.11851736830266746</v>
      </c>
    </row>
    <row r="637" spans="1:27" hidden="1">
      <c r="A637" s="105" t="s">
        <v>48</v>
      </c>
      <c r="B637" s="108"/>
      <c r="C637" s="108">
        <f t="shared" ref="C637" si="1933">IF(AND(C632&gt;0,B632&lt;0),(C621-(C632/(C632-B632))),0)</f>
        <v>0</v>
      </c>
      <c r="D637" s="108">
        <f t="shared" ref="D637" si="1934">IF(AND(D632&gt;0,C632&lt;0),(D621-(D632/(D632-C632))),0)</f>
        <v>0</v>
      </c>
      <c r="E637" s="108">
        <f t="shared" ref="E637" si="1935">IF(AND(E632&gt;0,D632&lt;0),(E621-(E632/(E632-D632))),0)</f>
        <v>0</v>
      </c>
      <c r="F637" s="108">
        <f t="shared" ref="F637" si="1936">IF(AND(F632&gt;0,E632&lt;0),(F621-(F632/(F632-E632))),0)</f>
        <v>0</v>
      </c>
      <c r="G637" s="108">
        <f t="shared" ref="G637" si="1937">IF(AND(G632&gt;0,F632&lt;0),(G621-(G632/(G632-F632))),0)</f>
        <v>0</v>
      </c>
      <c r="H637" s="108">
        <f t="shared" ref="H637" si="1938">IF(AND(H632&gt;0,G632&lt;0),(H621-(H632/(H632-G632))),0)</f>
        <v>0</v>
      </c>
      <c r="I637" s="108">
        <f t="shared" ref="I637" si="1939">IF(AND(I632&gt;0,H632&lt;0),(I621-(I632/(I632-H632))),0)</f>
        <v>0</v>
      </c>
      <c r="J637" s="108">
        <f t="shared" ref="J637" si="1940">IF(AND(J632&gt;0,I632&lt;0),(J621-(J632/(J632-I632))),0)</f>
        <v>0</v>
      </c>
      <c r="K637" s="108">
        <f t="shared" ref="K637" si="1941">IF(AND(K632&gt;0,J632&lt;0),(K621-(K632/(K632-J632))),0)</f>
        <v>8.7393756237943432</v>
      </c>
      <c r="L637" s="108">
        <f t="shared" ref="L637" si="1942">IF(AND(L632&gt;0,K632&lt;0),(L621-(L632/(L632-K632))),0)</f>
        <v>0</v>
      </c>
      <c r="M637" s="108">
        <f t="shared" ref="M637" si="1943">IF(AND(M632&gt;0,L632&lt;0),(M621-(M632/(M632-L632))),0)</f>
        <v>0</v>
      </c>
      <c r="N637" s="108">
        <f t="shared" ref="N637" si="1944">IF(AND(N632&gt;0,M632&lt;0),(N621-(N632/(N632-M632))),0)</f>
        <v>0</v>
      </c>
      <c r="O637" s="108">
        <f t="shared" ref="O637" si="1945">IF(AND(O632&gt;0,N632&lt;0),(O621-(O632/(O632-N632))),0)</f>
        <v>0</v>
      </c>
      <c r="P637" s="108">
        <f>IF(AND(P632&gt;0,O632&lt;0),(P621-(P632/(P632-O632))),0)</f>
        <v>0</v>
      </c>
      <c r="Q637" s="108">
        <f>IF(AND(Q632&gt;0,P632&lt;0),(Q621-(Q632/(Q632-P632))),0)</f>
        <v>0</v>
      </c>
      <c r="R637" s="108">
        <f t="shared" ref="R637" si="1946">IF(AND(R632&gt;0,Q632&lt;0),(R621-(R632/(R632-Q632))),0)</f>
        <v>0</v>
      </c>
      <c r="S637" s="108">
        <f t="shared" ref="S637" si="1947">IF(AND(S632&gt;0,R632&lt;0),(S621-(S632/(S632-R632))),0)</f>
        <v>0</v>
      </c>
      <c r="T637" s="108">
        <f t="shared" ref="T637" si="1948">IF(AND(T632&gt;0,S632&lt;0),(T621-(T632/(T632-S632))),0)</f>
        <v>0</v>
      </c>
      <c r="U637" s="108">
        <f t="shared" ref="U637" si="1949">IF(AND(U632&gt;0,T632&lt;0),(U621-(U632/(U632-T632))),0)</f>
        <v>0</v>
      </c>
      <c r="V637" s="108">
        <f t="shared" ref="V637" si="1950">IF(AND(V632&gt;0,U632&lt;0),(V621-(V632/(V632-U632))),0)</f>
        <v>0</v>
      </c>
      <c r="W637" s="108">
        <f t="shared" ref="W637" si="1951">IF(AND(W632&gt;0,V632&lt;0),(W621-(W632/(W632-V632))),0)</f>
        <v>0</v>
      </c>
      <c r="X637" s="108">
        <f t="shared" ref="X637" si="1952">IF(AND(X632&gt;0,W632&lt;0),(X621-(X632/(X632-W632))),0)</f>
        <v>0</v>
      </c>
      <c r="Y637" s="108">
        <f t="shared" ref="Y637" si="1953">IF(AND(Y632&gt;0,X632&lt;0),(Y621-(Y632/(Y632-X632))),0)</f>
        <v>0</v>
      </c>
      <c r="Z637" s="108">
        <f t="shared" ref="Z637" si="1954">IF(AND(Z632&gt;0,Y632&lt;0),(Z621-(Z632/(Z632-Y632))),0)</f>
        <v>0</v>
      </c>
      <c r="AA637" s="108">
        <f t="shared" ref="AA637" si="1955">IF(AND(AA632&gt;0,Z632&lt;0),(AA621-(AA632/(AA632-Z632))),0)</f>
        <v>0</v>
      </c>
    </row>
    <row r="638" spans="1:27" ht="16.5" hidden="1" thickBot="1">
      <c r="A638" s="109" t="s">
        <v>49</v>
      </c>
      <c r="B638" s="110"/>
      <c r="C638" s="110">
        <f t="shared" ref="C638" si="1956">IF(AND(C635&gt;0,B635&lt;0),(C621-(C635/(C635-B635))),0)</f>
        <v>0</v>
      </c>
      <c r="D638" s="110">
        <f t="shared" ref="D638" si="1957">IF(AND(D635&gt;0,C635&lt;0),(D621-(D635/(D635-C635))),0)</f>
        <v>0</v>
      </c>
      <c r="E638" s="110">
        <f t="shared" ref="E638" si="1958">IF(AND(E635&gt;0,D635&lt;0),(E621-(E635/(E635-D635))),0)</f>
        <v>0</v>
      </c>
      <c r="F638" s="110">
        <f t="shared" ref="F638" si="1959">IF(AND(F635&gt;0,E635&lt;0),(F621-(F635/(F635-E635))),0)</f>
        <v>0</v>
      </c>
      <c r="G638" s="110">
        <f t="shared" ref="G638" si="1960">IF(AND(G635&gt;0,F635&lt;0),(G621-(G635/(G635-F635))),0)</f>
        <v>0</v>
      </c>
      <c r="H638" s="110">
        <f t="shared" ref="H638" si="1961">IF(AND(H635&gt;0,G635&lt;0),(H621-(H635/(H635-G635))),0)</f>
        <v>0</v>
      </c>
      <c r="I638" s="110">
        <f t="shared" ref="I638" si="1962">IF(AND(I635&gt;0,H635&lt;0),(I621-(I635/(I635-H635))),0)</f>
        <v>0</v>
      </c>
      <c r="J638" s="110">
        <f t="shared" ref="J638" si="1963">IF(AND(J635&gt;0,I635&lt;0),(J621-(J635/(J635-I635))),0)</f>
        <v>0</v>
      </c>
      <c r="K638" s="110">
        <f t="shared" ref="K638" si="1964">IF(AND(K635&gt;0,J635&lt;0),(K621-(K635/(K635-J635))),0)</f>
        <v>0</v>
      </c>
      <c r="L638" s="110">
        <f t="shared" ref="L638" si="1965">IF(AND(L635&gt;0,K635&lt;0),(L621-(L635/(L635-K635))),0)</f>
        <v>0</v>
      </c>
      <c r="M638" s="110">
        <f t="shared" ref="M638" si="1966">IF(AND(M635&gt;0,L635&lt;0),(M621-(M635/(M635-L635))),0)</f>
        <v>0</v>
      </c>
      <c r="N638" s="110">
        <f t="shared" ref="N638" si="1967">IF(AND(N635&gt;0,M635&lt;0),(N621-(N635/(N635-M635))),0)</f>
        <v>0</v>
      </c>
      <c r="O638" s="110">
        <f t="shared" ref="O638" si="1968">IF(AND(O635&gt;0,N635&lt;0),(O621-(O635/(O635-N635))),0)</f>
        <v>0</v>
      </c>
      <c r="P638" s="110">
        <f t="shared" ref="P638" si="1969">IF(AND(P635&gt;0,O635&lt;0),(P621-(P635/(P635-O635))),0)</f>
        <v>0</v>
      </c>
      <c r="Q638" s="110">
        <f t="shared" ref="Q638" si="1970">IF(AND(Q635&gt;0,P635&lt;0),(Q621-(Q635/(Q635-P635))),0)</f>
        <v>0</v>
      </c>
      <c r="R638" s="110">
        <f t="shared" ref="R638" si="1971">IF(AND(R635&gt;0,Q635&lt;0),(R621-(R635/(R635-Q635))),0)</f>
        <v>15.043757133265407</v>
      </c>
      <c r="S638" s="110">
        <f t="shared" ref="S638" si="1972">IF(AND(S635&gt;0,R635&lt;0),(S621-(S635/(S635-R635))),0)</f>
        <v>0</v>
      </c>
      <c r="T638" s="110">
        <f t="shared" ref="T638" si="1973">IF(AND(T635&gt;0,S635&lt;0),(T621-(T635/(T635-S635))),0)</f>
        <v>0</v>
      </c>
      <c r="U638" s="110">
        <f t="shared" ref="U638" si="1974">IF(AND(U635&gt;0,T635&lt;0),(U621-(U635/(U635-T635))),0)</f>
        <v>0</v>
      </c>
      <c r="V638" s="110">
        <f t="shared" ref="V638" si="1975">IF(AND(V635&gt;0,U635&lt;0),(V621-(V635/(V635-U635))),0)</f>
        <v>0</v>
      </c>
      <c r="W638" s="110">
        <f t="shared" ref="W638" si="1976">IF(AND(W635&gt;0,V635&lt;0),(W621-(W635/(W635-V635))),0)</f>
        <v>0</v>
      </c>
      <c r="X638" s="110">
        <f t="shared" ref="X638" si="1977">IF(AND(X635&gt;0,W635&lt;0),(X621-(X635/(X635-W635))),0)</f>
        <v>0</v>
      </c>
      <c r="Y638" s="110">
        <f t="shared" ref="Y638" si="1978">IF(AND(Y635&gt;0,X635&lt;0),(Y621-(Y635/(Y635-X635))),0)</f>
        <v>0</v>
      </c>
      <c r="Z638" s="110">
        <f t="shared" ref="Z638" si="1979">IF(AND(Z635&gt;0,Y635&lt;0),(Z621-(Z635/(Z635-Y635))),0)</f>
        <v>0</v>
      </c>
      <c r="AA638" s="110">
        <f>IF(AND(AA635&gt;0,Z635&lt;0),(AA621-(AA635/(AA635-Z635))),0)</f>
        <v>0</v>
      </c>
    </row>
    <row r="639" spans="1:27" hidden="1"/>
    <row r="640" spans="1:27" hidden="1"/>
  </sheetData>
  <customSheetViews>
    <customSheetView guid="{8313A758-6764-4FAF-B5C3-0AC63E11C07D}" scale="70" showPageBreaks="1" view="pageBreakPreview">
      <selection sqref="A1:XFD1"/>
      <pageMargins left="1.2204724409448819" right="0.70866141732283472" top="0.74803149606299213" bottom="0.59055118110236227" header="0.31496062992125984" footer="0.31496062992125984"/>
      <pageSetup paperSize="8" scale="38" orientation="landscape" r:id="rId1"/>
      <headerFooter alignWithMargins="0">
        <oddFooter>&amp;R&amp;P</oddFooter>
      </headerFooter>
    </customSheetView>
    <customSheetView guid="{39750778-B4CA-4A61-A93E-2C57443220F3}" scale="70" showPageBreaks="1" view="pageBreakPreview" topLeftCell="A7">
      <selection activeCell="B44" sqref="B44:E44"/>
      <pageMargins left="1.2204724409448819" right="0.70866141732283472" top="0.74803149606299213" bottom="0.59055118110236227" header="0.31496062992125984" footer="0.31496062992125984"/>
      <pageSetup paperSize="8" scale="38" orientation="landscape" r:id="rId2"/>
      <headerFooter alignWithMargins="0">
        <oddFooter>&amp;R&amp;P</oddFooter>
      </headerFooter>
    </customSheetView>
  </customSheetViews>
  <mergeCells count="75">
    <mergeCell ref="D21:E21"/>
    <mergeCell ref="F21:G21"/>
    <mergeCell ref="D19:E19"/>
    <mergeCell ref="F19:G19"/>
    <mergeCell ref="D20:E20"/>
    <mergeCell ref="F20:G20"/>
    <mergeCell ref="A5:AA5"/>
    <mergeCell ref="A6:AA6"/>
    <mergeCell ref="D18:E18"/>
    <mergeCell ref="F18:G18"/>
    <mergeCell ref="Y7:AA7"/>
    <mergeCell ref="D87:E87"/>
    <mergeCell ref="F87:G87"/>
    <mergeCell ref="D88:E88"/>
    <mergeCell ref="F88:G88"/>
    <mergeCell ref="D89:E89"/>
    <mergeCell ref="F89:G89"/>
    <mergeCell ref="D90:E90"/>
    <mergeCell ref="F90:G90"/>
    <mergeCell ref="D156:E156"/>
    <mergeCell ref="F156:G156"/>
    <mergeCell ref="D157:E157"/>
    <mergeCell ref="F157:G157"/>
    <mergeCell ref="D158:E158"/>
    <mergeCell ref="F158:G158"/>
    <mergeCell ref="D159:E159"/>
    <mergeCell ref="F159:G159"/>
    <mergeCell ref="D225:E225"/>
    <mergeCell ref="F225:G225"/>
    <mergeCell ref="D226:E226"/>
    <mergeCell ref="F226:G226"/>
    <mergeCell ref="D227:E227"/>
    <mergeCell ref="F227:G227"/>
    <mergeCell ref="D228:E228"/>
    <mergeCell ref="F228:G228"/>
    <mergeCell ref="D507:E507"/>
    <mergeCell ref="F507:G507"/>
    <mergeCell ref="D508:E508"/>
    <mergeCell ref="F508:G508"/>
    <mergeCell ref="D366:E366"/>
    <mergeCell ref="F366:G366"/>
    <mergeCell ref="D367:E367"/>
    <mergeCell ref="F367:G367"/>
    <mergeCell ref="D368:E368"/>
    <mergeCell ref="F368:G368"/>
    <mergeCell ref="D438:E438"/>
    <mergeCell ref="F438:G438"/>
    <mergeCell ref="D439:E439"/>
    <mergeCell ref="F439:G439"/>
    <mergeCell ref="D506:E506"/>
    <mergeCell ref="F506:G506"/>
    <mergeCell ref="D299:E299"/>
    <mergeCell ref="F299:G299"/>
    <mergeCell ref="D436:E436"/>
    <mergeCell ref="F436:G436"/>
    <mergeCell ref="D437:E437"/>
    <mergeCell ref="F437:G437"/>
    <mergeCell ref="D369:E369"/>
    <mergeCell ref="F369:G369"/>
    <mergeCell ref="D296:E296"/>
    <mergeCell ref="F296:G296"/>
    <mergeCell ref="D297:E297"/>
    <mergeCell ref="F297:G297"/>
    <mergeCell ref="D298:E298"/>
    <mergeCell ref="F298:G298"/>
    <mergeCell ref="D509:E509"/>
    <mergeCell ref="F509:G509"/>
    <mergeCell ref="D577:E577"/>
    <mergeCell ref="F577:G577"/>
    <mergeCell ref="D578:E578"/>
    <mergeCell ref="F578:G578"/>
    <mergeCell ref="D575:E575"/>
    <mergeCell ref="F575:G575"/>
    <mergeCell ref="D576:E576"/>
    <mergeCell ref="F576:G576"/>
  </mergeCells>
  <phoneticPr fontId="0" type="noConversion"/>
  <pageMargins left="1.2204724409448819" right="0.70866141732283472" top="0.74803149606299213" bottom="0.59055118110236227" header="0.31496062992125984" footer="0.31496062992125984"/>
  <pageSetup paperSize="8" scale="39" fitToHeight="0" orientation="landscape" r:id="rId3"/>
  <headerFooter alignWithMargins="0">
    <oddFooter>&amp;R&amp;P</oddFooter>
  </headerFooter>
  <rowBreaks count="6" manualBreakCount="6">
    <brk id="82" max="26" man="1"/>
    <brk id="151" max="26" man="1"/>
    <brk id="220" max="26" man="1"/>
    <brk id="290" max="26" man="1"/>
    <brk id="360" max="26" man="1"/>
    <brk id="430" max="26" man="1"/>
  </rowBreaks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I129"/>
  <sheetViews>
    <sheetView view="pageBreakPreview" zoomScale="75" zoomScaleNormal="80" zoomScaleSheetLayoutView="75" workbookViewId="0">
      <selection activeCell="I98" sqref="I98"/>
    </sheetView>
  </sheetViews>
  <sheetFormatPr defaultRowHeight="15.75"/>
  <cols>
    <col min="1" max="1" width="2.25" style="53" customWidth="1"/>
    <col min="2" max="2" width="4.75" style="113" customWidth="1"/>
    <col min="3" max="3" width="33.75" style="114" customWidth="1"/>
    <col min="4" max="4" width="15.25" style="53" bestFit="1" customWidth="1"/>
    <col min="5" max="5" width="17.25" style="53" bestFit="1" customWidth="1"/>
    <col min="6" max="7" width="9" style="53" hidden="1" customWidth="1"/>
    <col min="8" max="8" width="14.375" style="53" customWidth="1"/>
    <col min="9" max="9" width="30.25" style="53" customWidth="1"/>
    <col min="10" max="13" width="9" style="53"/>
    <col min="14" max="14" width="13" style="53" customWidth="1"/>
    <col min="15" max="16384" width="9" style="53"/>
  </cols>
  <sheetData>
    <row r="1" spans="1:9" s="385" customFormat="1">
      <c r="A1" s="53"/>
      <c r="B1" s="113"/>
      <c r="C1" s="114"/>
      <c r="D1" s="53"/>
      <c r="E1" s="53"/>
      <c r="F1" s="53"/>
      <c r="G1" s="53"/>
      <c r="H1" s="460" t="str">
        <f>'приложение 1.1 '!A23</f>
        <v>1.1.1.1</v>
      </c>
      <c r="I1" s="175" t="s">
        <v>240</v>
      </c>
    </row>
    <row r="2" spans="1:9" s="385" customFormat="1">
      <c r="A2" s="53"/>
      <c r="B2" s="113"/>
      <c r="C2" s="114"/>
      <c r="D2" s="53"/>
      <c r="E2" s="53"/>
      <c r="F2" s="53"/>
      <c r="G2" s="53"/>
      <c r="H2" s="53"/>
      <c r="I2" s="175" t="s">
        <v>433</v>
      </c>
    </row>
    <row r="3" spans="1:9" s="385" customFormat="1">
      <c r="A3" s="53"/>
      <c r="B3" s="113"/>
      <c r="C3" s="114"/>
      <c r="D3" s="53"/>
      <c r="E3" s="53"/>
      <c r="F3" s="53"/>
      <c r="G3" s="53"/>
      <c r="H3" s="53"/>
      <c r="I3" s="175" t="s">
        <v>178</v>
      </c>
    </row>
    <row r="4" spans="1:9" s="385" customFormat="1">
      <c r="A4" s="53"/>
      <c r="B4" s="113"/>
      <c r="C4" s="114"/>
      <c r="D4" s="53"/>
      <c r="E4" s="53"/>
      <c r="F4" s="53"/>
      <c r="G4" s="53"/>
      <c r="H4" s="53"/>
      <c r="I4" s="175"/>
    </row>
    <row r="5" spans="1:9" s="385" customFormat="1" ht="15.75" customHeight="1">
      <c r="A5" s="53"/>
      <c r="B5" s="941" t="s">
        <v>381</v>
      </c>
      <c r="C5" s="941"/>
      <c r="D5" s="941"/>
      <c r="E5" s="941"/>
      <c r="F5" s="941"/>
      <c r="G5" s="941"/>
      <c r="H5" s="941"/>
      <c r="I5" s="941"/>
    </row>
    <row r="6" spans="1:9" s="385" customFormat="1" ht="15.75" customHeight="1">
      <c r="A6" s="53"/>
      <c r="B6" s="941" t="s">
        <v>620</v>
      </c>
      <c r="C6" s="941"/>
      <c r="D6" s="941"/>
      <c r="E6" s="941"/>
      <c r="F6" s="941"/>
      <c r="G6" s="941"/>
      <c r="H6" s="941"/>
      <c r="I6" s="941"/>
    </row>
    <row r="7" spans="1:9" s="385" customFormat="1">
      <c r="A7" s="53"/>
      <c r="B7" s="113"/>
      <c r="C7" s="114"/>
      <c r="D7" s="53"/>
      <c r="E7" s="53"/>
      <c r="F7" s="53"/>
      <c r="G7" s="53"/>
      <c r="H7" s="53"/>
      <c r="I7" s="175" t="s">
        <v>434</v>
      </c>
    </row>
    <row r="8" spans="1:9" s="385" customFormat="1">
      <c r="A8" s="53"/>
      <c r="B8" s="113"/>
      <c r="C8" s="114"/>
      <c r="D8" s="53"/>
      <c r="E8" s="53"/>
      <c r="F8" s="53"/>
      <c r="G8" s="53"/>
      <c r="H8" s="53"/>
      <c r="I8" s="175" t="s">
        <v>212</v>
      </c>
    </row>
    <row r="9" spans="1:9" s="385" customFormat="1" ht="17.25" customHeight="1">
      <c r="A9" s="53"/>
      <c r="B9" s="113"/>
      <c r="C9" s="114"/>
      <c r="D9" s="53"/>
      <c r="E9" s="53"/>
      <c r="F9" s="53"/>
      <c r="G9" s="53"/>
      <c r="H9" s="53"/>
      <c r="I9" s="175" t="s">
        <v>620</v>
      </c>
    </row>
    <row r="10" spans="1:9" s="385" customFormat="1" ht="17.25" customHeight="1">
      <c r="A10" s="53"/>
      <c r="B10" s="113"/>
      <c r="C10" s="114"/>
      <c r="D10" s="53"/>
      <c r="E10" s="53"/>
      <c r="F10" s="53"/>
      <c r="G10" s="53"/>
      <c r="H10" s="53"/>
      <c r="I10" s="270" t="s">
        <v>621</v>
      </c>
    </row>
    <row r="11" spans="1:9" s="385" customFormat="1">
      <c r="A11" s="53"/>
      <c r="B11" s="113"/>
      <c r="C11" s="114"/>
      <c r="D11" s="53"/>
      <c r="E11" s="53"/>
      <c r="F11" s="53"/>
      <c r="G11" s="53"/>
      <c r="H11" s="53"/>
      <c r="I11" s="175" t="s">
        <v>672</v>
      </c>
    </row>
    <row r="12" spans="1:9" s="385" customFormat="1">
      <c r="A12" s="53"/>
      <c r="B12" s="113"/>
      <c r="C12" s="114"/>
      <c r="D12" s="53"/>
      <c r="E12" s="53"/>
      <c r="F12" s="53"/>
      <c r="G12" s="53"/>
      <c r="H12" s="53"/>
      <c r="I12" s="175" t="s">
        <v>173</v>
      </c>
    </row>
    <row r="13" spans="1:9" s="385" customFormat="1" ht="15.75" customHeight="1">
      <c r="A13" s="53"/>
      <c r="B13" s="115"/>
      <c r="C13" s="114"/>
      <c r="D13" s="53"/>
      <c r="E13" s="53"/>
      <c r="F13" s="53"/>
      <c r="G13" s="53"/>
      <c r="H13" s="53"/>
      <c r="I13" s="53"/>
    </row>
    <row r="14" spans="1:9" s="385" customFormat="1" ht="32.25" customHeight="1">
      <c r="A14" s="53"/>
      <c r="B14" s="943" t="s">
        <v>650</v>
      </c>
      <c r="C14" s="943"/>
      <c r="D14" s="943"/>
      <c r="E14" s="943"/>
      <c r="F14" s="943"/>
      <c r="G14" s="943"/>
      <c r="H14" s="943"/>
      <c r="I14" s="943"/>
    </row>
    <row r="15" spans="1:9" s="385" customFormat="1" ht="15.75" customHeight="1">
      <c r="A15" s="53"/>
      <c r="B15" s="940"/>
      <c r="C15" s="940"/>
      <c r="D15" s="940"/>
      <c r="E15" s="940"/>
      <c r="F15" s="940"/>
      <c r="G15" s="940"/>
      <c r="H15" s="940"/>
      <c r="I15" s="940"/>
    </row>
    <row r="16" spans="1:9" s="385" customFormat="1" ht="15.75" customHeight="1">
      <c r="A16" s="53"/>
      <c r="B16" s="938" t="s">
        <v>673</v>
      </c>
      <c r="C16" s="938"/>
      <c r="D16" s="938"/>
      <c r="E16" s="938"/>
      <c r="F16" s="938"/>
      <c r="G16" s="938"/>
      <c r="H16" s="938"/>
      <c r="I16" s="938"/>
    </row>
    <row r="17" spans="1:9" s="385" customFormat="1">
      <c r="A17" s="53"/>
      <c r="B17" s="116"/>
      <c r="C17" s="421"/>
      <c r="D17" s="271"/>
      <c r="E17" s="271"/>
      <c r="F17" s="271"/>
      <c r="G17" s="271"/>
      <c r="H17" s="271"/>
      <c r="I17" s="271"/>
    </row>
    <row r="18" spans="1:9" s="385" customFormat="1" ht="15.75" customHeight="1">
      <c r="A18" s="53"/>
      <c r="B18" s="939" t="s">
        <v>251</v>
      </c>
      <c r="C18" s="877" t="s">
        <v>399</v>
      </c>
      <c r="D18" s="877" t="s">
        <v>447</v>
      </c>
      <c r="E18" s="877"/>
      <c r="F18" s="877"/>
      <c r="G18" s="877"/>
      <c r="H18" s="878" t="s">
        <v>382</v>
      </c>
      <c r="I18" s="877" t="s">
        <v>383</v>
      </c>
    </row>
    <row r="19" spans="1:9" s="385" customFormat="1">
      <c r="A19" s="53"/>
      <c r="B19" s="939"/>
      <c r="C19" s="877"/>
      <c r="D19" s="877"/>
      <c r="E19" s="877"/>
      <c r="F19" s="877"/>
      <c r="G19" s="877"/>
      <c r="H19" s="878"/>
      <c r="I19" s="877"/>
    </row>
    <row r="20" spans="1:9" s="385" customFormat="1" ht="31.5">
      <c r="A20" s="53"/>
      <c r="B20" s="939"/>
      <c r="C20" s="877"/>
      <c r="D20" s="272" t="s">
        <v>384</v>
      </c>
      <c r="E20" s="272" t="s">
        <v>385</v>
      </c>
      <c r="F20" s="272" t="s">
        <v>384</v>
      </c>
      <c r="G20" s="272" t="s">
        <v>385</v>
      </c>
      <c r="H20" s="878"/>
      <c r="I20" s="877"/>
    </row>
    <row r="21" spans="1:9" s="385" customFormat="1">
      <c r="A21" s="53"/>
      <c r="B21" s="422">
        <v>1</v>
      </c>
      <c r="C21" s="420">
        <v>2</v>
      </c>
      <c r="D21" s="272">
        <v>3</v>
      </c>
      <c r="E21" s="272">
        <v>4</v>
      </c>
      <c r="F21" s="272"/>
      <c r="G21" s="272"/>
      <c r="H21" s="554">
        <v>5</v>
      </c>
      <c r="I21" s="420">
        <v>6</v>
      </c>
    </row>
    <row r="22" spans="1:9" s="385" customFormat="1" ht="15.75" customHeight="1">
      <c r="A22" s="53"/>
      <c r="B22" s="422">
        <v>1</v>
      </c>
      <c r="C22" s="273" t="s">
        <v>352</v>
      </c>
      <c r="D22" s="274"/>
      <c r="E22" s="274"/>
      <c r="F22" s="117"/>
      <c r="G22" s="117"/>
      <c r="H22" s="118"/>
      <c r="I22" s="54"/>
    </row>
    <row r="23" spans="1:9" s="385" customFormat="1" ht="36" customHeight="1">
      <c r="A23" s="53"/>
      <c r="B23" s="119" t="s">
        <v>253</v>
      </c>
      <c r="C23" s="275" t="s">
        <v>353</v>
      </c>
      <c r="D23" s="119"/>
      <c r="E23" s="119"/>
      <c r="F23" s="117"/>
      <c r="G23" s="117"/>
      <c r="H23" s="117"/>
      <c r="I23" s="111"/>
    </row>
    <row r="24" spans="1:9" s="385" customFormat="1">
      <c r="A24" s="53"/>
      <c r="B24" s="119" t="s">
        <v>254</v>
      </c>
      <c r="C24" s="276" t="s">
        <v>213</v>
      </c>
      <c r="D24" s="119" t="s">
        <v>566</v>
      </c>
      <c r="E24" s="119" t="s">
        <v>566</v>
      </c>
      <c r="F24" s="117"/>
      <c r="G24" s="117"/>
      <c r="H24" s="117"/>
      <c r="I24" s="111"/>
    </row>
    <row r="25" spans="1:9" s="385" customFormat="1" ht="31.5">
      <c r="A25" s="53"/>
      <c r="B25" s="119" t="s">
        <v>265</v>
      </c>
      <c r="C25" s="276" t="s">
        <v>457</v>
      </c>
      <c r="D25" s="119"/>
      <c r="E25" s="119"/>
      <c r="F25" s="117"/>
      <c r="G25" s="117"/>
      <c r="H25" s="117"/>
      <c r="I25" s="111"/>
    </row>
    <row r="26" spans="1:9" s="385" customFormat="1" ht="63">
      <c r="A26" s="53"/>
      <c r="B26" s="120" t="s">
        <v>280</v>
      </c>
      <c r="C26" s="121" t="s">
        <v>458</v>
      </c>
      <c r="D26" s="119"/>
      <c r="E26" s="119"/>
      <c r="F26" s="117"/>
      <c r="G26" s="117"/>
      <c r="H26" s="117"/>
      <c r="I26" s="111"/>
    </row>
    <row r="27" spans="1:9" s="385" customFormat="1" ht="31.5">
      <c r="A27" s="53"/>
      <c r="B27" s="120" t="s">
        <v>459</v>
      </c>
      <c r="C27" s="121" t="s">
        <v>460</v>
      </c>
      <c r="D27" s="119" t="s">
        <v>567</v>
      </c>
      <c r="E27" s="119" t="s">
        <v>567</v>
      </c>
      <c r="F27" s="117"/>
      <c r="G27" s="117"/>
      <c r="H27" s="117"/>
      <c r="I27" s="111"/>
    </row>
    <row r="28" spans="1:9" s="385" customFormat="1">
      <c r="A28" s="53"/>
      <c r="B28" s="120" t="s">
        <v>461</v>
      </c>
      <c r="C28" s="121" t="s">
        <v>462</v>
      </c>
      <c r="D28" s="119" t="s">
        <v>568</v>
      </c>
      <c r="E28" s="119" t="s">
        <v>569</v>
      </c>
      <c r="F28" s="117"/>
      <c r="G28" s="117"/>
      <c r="H28" s="117"/>
      <c r="I28" s="111"/>
    </row>
    <row r="29" spans="1:9" s="385" customFormat="1">
      <c r="A29" s="53"/>
      <c r="B29" s="122">
        <v>2</v>
      </c>
      <c r="C29" s="123" t="s">
        <v>287</v>
      </c>
      <c r="D29" s="119"/>
      <c r="E29" s="119"/>
      <c r="F29" s="117"/>
      <c r="G29" s="117"/>
      <c r="H29" s="117"/>
      <c r="I29" s="111"/>
    </row>
    <row r="30" spans="1:9" s="385" customFormat="1" ht="31.5">
      <c r="A30" s="53"/>
      <c r="B30" s="120" t="s">
        <v>256</v>
      </c>
      <c r="C30" s="121" t="s">
        <v>463</v>
      </c>
      <c r="D30" s="119" t="s">
        <v>569</v>
      </c>
      <c r="E30" s="119" t="s">
        <v>570</v>
      </c>
      <c r="F30" s="117"/>
      <c r="G30" s="117"/>
      <c r="H30" s="117"/>
      <c r="I30" s="111"/>
    </row>
    <row r="31" spans="1:9" s="385" customFormat="1" ht="63">
      <c r="A31" s="53"/>
      <c r="B31" s="120" t="s">
        <v>257</v>
      </c>
      <c r="C31" s="121" t="s">
        <v>392</v>
      </c>
      <c r="D31" s="119"/>
      <c r="E31" s="119"/>
      <c r="F31" s="117"/>
      <c r="G31" s="117"/>
      <c r="H31" s="117"/>
      <c r="I31" s="111"/>
    </row>
    <row r="32" spans="1:9" s="385" customFormat="1" ht="31.5">
      <c r="A32" s="53"/>
      <c r="B32" s="120" t="s">
        <v>258</v>
      </c>
      <c r="C32" s="121" t="s">
        <v>393</v>
      </c>
      <c r="D32" s="119"/>
      <c r="E32" s="119"/>
      <c r="F32" s="117"/>
      <c r="G32" s="117"/>
      <c r="H32" s="117"/>
      <c r="I32" s="111"/>
    </row>
    <row r="33" spans="1:9" s="385" customFormat="1" ht="47.25">
      <c r="A33" s="53"/>
      <c r="B33" s="122">
        <v>3</v>
      </c>
      <c r="C33" s="123" t="s">
        <v>203</v>
      </c>
      <c r="D33" s="119"/>
      <c r="E33" s="119"/>
      <c r="F33" s="117"/>
      <c r="G33" s="117"/>
      <c r="H33" s="117"/>
      <c r="I33" s="111"/>
    </row>
    <row r="34" spans="1:9" s="385" customFormat="1" ht="31.5" customHeight="1">
      <c r="A34" s="53"/>
      <c r="B34" s="120" t="s">
        <v>288</v>
      </c>
      <c r="C34" s="121" t="s">
        <v>204</v>
      </c>
      <c r="D34" s="119"/>
      <c r="E34" s="119"/>
      <c r="F34" s="117"/>
      <c r="G34" s="117"/>
      <c r="H34" s="117"/>
      <c r="I34" s="111"/>
    </row>
    <row r="35" spans="1:9" s="385" customFormat="1">
      <c r="A35" s="53"/>
      <c r="B35" s="120" t="s">
        <v>229</v>
      </c>
      <c r="C35" s="121" t="s">
        <v>205</v>
      </c>
      <c r="D35" s="119" t="s">
        <v>570</v>
      </c>
      <c r="E35" s="119" t="s">
        <v>571</v>
      </c>
      <c r="F35" s="117"/>
      <c r="G35" s="117"/>
      <c r="H35" s="117"/>
      <c r="I35" s="111"/>
    </row>
    <row r="36" spans="1:9" s="385" customFormat="1">
      <c r="A36" s="53"/>
      <c r="B36" s="120" t="s">
        <v>231</v>
      </c>
      <c r="C36" s="121" t="s">
        <v>206</v>
      </c>
      <c r="D36" s="119" t="s">
        <v>571</v>
      </c>
      <c r="E36" s="119" t="s">
        <v>572</v>
      </c>
      <c r="F36" s="117"/>
      <c r="G36" s="117"/>
      <c r="H36" s="117"/>
      <c r="I36" s="111"/>
    </row>
    <row r="37" spans="1:9" s="385" customFormat="1">
      <c r="A37" s="53"/>
      <c r="B37" s="120" t="s">
        <v>207</v>
      </c>
      <c r="C37" s="121" t="s">
        <v>208</v>
      </c>
      <c r="D37" s="119" t="s">
        <v>572</v>
      </c>
      <c r="E37" s="119" t="s">
        <v>573</v>
      </c>
      <c r="F37" s="117"/>
      <c r="G37" s="117"/>
      <c r="H37" s="117"/>
      <c r="I37" s="111"/>
    </row>
    <row r="38" spans="1:9" s="385" customFormat="1">
      <c r="A38" s="53"/>
      <c r="B38" s="120" t="s">
        <v>209</v>
      </c>
      <c r="C38" s="121" t="s">
        <v>210</v>
      </c>
      <c r="D38" s="119" t="s">
        <v>573</v>
      </c>
      <c r="E38" s="119" t="s">
        <v>574</v>
      </c>
      <c r="F38" s="117"/>
      <c r="G38" s="117"/>
      <c r="H38" s="117"/>
      <c r="I38" s="111"/>
    </row>
    <row r="39" spans="1:9" s="385" customFormat="1">
      <c r="A39" s="53"/>
      <c r="B39" s="122">
        <v>4</v>
      </c>
      <c r="C39" s="123" t="s">
        <v>376</v>
      </c>
      <c r="D39" s="119"/>
      <c r="E39" s="119"/>
      <c r="F39" s="117"/>
      <c r="G39" s="117"/>
      <c r="H39" s="117"/>
      <c r="I39" s="111"/>
    </row>
    <row r="40" spans="1:9" s="385" customFormat="1" ht="31.5">
      <c r="A40" s="53"/>
      <c r="B40" s="119" t="s">
        <v>260</v>
      </c>
      <c r="C40" s="276" t="s">
        <v>211</v>
      </c>
      <c r="D40" s="119" t="s">
        <v>574</v>
      </c>
      <c r="E40" s="119" t="s">
        <v>574</v>
      </c>
      <c r="F40" s="117"/>
      <c r="G40" s="117"/>
      <c r="H40" s="117"/>
      <c r="I40" s="111"/>
    </row>
    <row r="41" spans="1:9" s="385" customFormat="1" ht="63">
      <c r="A41" s="53"/>
      <c r="B41" s="119" t="s">
        <v>261</v>
      </c>
      <c r="C41" s="276" t="s">
        <v>374</v>
      </c>
      <c r="D41" s="119"/>
      <c r="E41" s="119"/>
      <c r="F41" s="117"/>
      <c r="G41" s="117"/>
      <c r="H41" s="117"/>
      <c r="I41" s="111"/>
    </row>
    <row r="42" spans="1:9" s="385" customFormat="1" ht="31.5">
      <c r="A42" s="53"/>
      <c r="B42" s="119" t="s">
        <v>262</v>
      </c>
      <c r="C42" s="276" t="s">
        <v>477</v>
      </c>
      <c r="D42" s="119"/>
      <c r="E42" s="119"/>
      <c r="F42" s="117"/>
      <c r="G42" s="117"/>
      <c r="H42" s="117"/>
      <c r="I42" s="111"/>
    </row>
    <row r="43" spans="1:9" s="385" customFormat="1" ht="31.5">
      <c r="A43" s="53"/>
      <c r="B43" s="119" t="s">
        <v>135</v>
      </c>
      <c r="C43" s="276" t="s">
        <v>478</v>
      </c>
      <c r="D43" s="119" t="s">
        <v>653</v>
      </c>
      <c r="E43" s="119" t="s">
        <v>674</v>
      </c>
      <c r="F43" s="117"/>
      <c r="G43" s="117"/>
      <c r="H43" s="117"/>
      <c r="I43" s="111"/>
    </row>
    <row r="44" spans="1:9" s="385" customFormat="1">
      <c r="A44" s="53"/>
      <c r="B44" s="113"/>
      <c r="C44" s="114"/>
      <c r="D44" s="53"/>
      <c r="E44" s="53"/>
      <c r="F44" s="53"/>
      <c r="G44" s="53"/>
      <c r="H44" s="460" t="str">
        <f>'приложение 1.1 '!A24</f>
        <v>1.1.1.2</v>
      </c>
      <c r="I44" s="175" t="s">
        <v>240</v>
      </c>
    </row>
    <row r="45" spans="1:9" s="385" customFormat="1">
      <c r="A45" s="53"/>
      <c r="B45" s="113"/>
      <c r="C45" s="114"/>
      <c r="D45" s="53"/>
      <c r="E45" s="53"/>
      <c r="F45" s="53"/>
      <c r="G45" s="53"/>
      <c r="H45" s="53"/>
      <c r="I45" s="175" t="s">
        <v>433</v>
      </c>
    </row>
    <row r="46" spans="1:9" s="385" customFormat="1">
      <c r="A46" s="53"/>
      <c r="B46" s="113"/>
      <c r="C46" s="114"/>
      <c r="D46" s="53"/>
      <c r="E46" s="53"/>
      <c r="F46" s="53"/>
      <c r="G46" s="53"/>
      <c r="H46" s="53"/>
      <c r="I46" s="175" t="s">
        <v>178</v>
      </c>
    </row>
    <row r="47" spans="1:9" s="385" customFormat="1">
      <c r="A47" s="53"/>
      <c r="B47" s="113"/>
      <c r="C47" s="114"/>
      <c r="D47" s="53"/>
      <c r="E47" s="53"/>
      <c r="F47" s="53"/>
      <c r="G47" s="53"/>
      <c r="H47" s="53"/>
      <c r="I47" s="175"/>
    </row>
    <row r="48" spans="1:9" s="385" customFormat="1">
      <c r="A48" s="53"/>
      <c r="B48" s="941" t="s">
        <v>381</v>
      </c>
      <c r="C48" s="941"/>
      <c r="D48" s="941"/>
      <c r="E48" s="941"/>
      <c r="F48" s="941"/>
      <c r="G48" s="941"/>
      <c r="H48" s="941"/>
      <c r="I48" s="941"/>
    </row>
    <row r="49" spans="1:9" s="385" customFormat="1">
      <c r="A49" s="53"/>
      <c r="B49" s="941" t="s">
        <v>620</v>
      </c>
      <c r="C49" s="941"/>
      <c r="D49" s="941"/>
      <c r="E49" s="941"/>
      <c r="F49" s="941"/>
      <c r="G49" s="941"/>
      <c r="H49" s="941"/>
      <c r="I49" s="941"/>
    </row>
    <row r="50" spans="1:9" s="385" customFormat="1">
      <c r="A50" s="53"/>
      <c r="B50" s="113"/>
      <c r="C50" s="114"/>
      <c r="D50" s="53"/>
      <c r="E50" s="53"/>
      <c r="F50" s="53"/>
      <c r="G50" s="53"/>
      <c r="H50" s="53"/>
      <c r="I50" s="175" t="s">
        <v>434</v>
      </c>
    </row>
    <row r="51" spans="1:9" s="385" customFormat="1">
      <c r="A51" s="53"/>
      <c r="B51" s="113"/>
      <c r="C51" s="114"/>
      <c r="D51" s="53"/>
      <c r="E51" s="53"/>
      <c r="F51" s="53"/>
      <c r="G51" s="53"/>
      <c r="H51" s="53"/>
      <c r="I51" s="175" t="s">
        <v>212</v>
      </c>
    </row>
    <row r="52" spans="1:9" s="385" customFormat="1">
      <c r="A52" s="53"/>
      <c r="B52" s="113"/>
      <c r="C52" s="114"/>
      <c r="D52" s="53"/>
      <c r="E52" s="53"/>
      <c r="F52" s="53"/>
      <c r="G52" s="53"/>
      <c r="H52" s="53"/>
      <c r="I52" s="175" t="s">
        <v>620</v>
      </c>
    </row>
    <row r="53" spans="1:9" s="385" customFormat="1">
      <c r="A53" s="53"/>
      <c r="B53" s="113"/>
      <c r="C53" s="114"/>
      <c r="D53" s="53"/>
      <c r="E53" s="53"/>
      <c r="F53" s="53"/>
      <c r="G53" s="53"/>
      <c r="H53" s="53"/>
      <c r="I53" s="270" t="s">
        <v>621</v>
      </c>
    </row>
    <row r="54" spans="1:9" s="385" customFormat="1">
      <c r="A54" s="53"/>
      <c r="B54" s="113"/>
      <c r="C54" s="114"/>
      <c r="D54" s="53"/>
      <c r="E54" s="53"/>
      <c r="F54" s="53"/>
      <c r="G54" s="53"/>
      <c r="H54" s="53"/>
      <c r="I54" s="175" t="s">
        <v>672</v>
      </c>
    </row>
    <row r="55" spans="1:9" s="385" customFormat="1">
      <c r="A55" s="53"/>
      <c r="B55" s="113"/>
      <c r="C55" s="114"/>
      <c r="D55" s="53"/>
      <c r="E55" s="53"/>
      <c r="F55" s="53"/>
      <c r="G55" s="53"/>
      <c r="H55" s="53"/>
      <c r="I55" s="175" t="s">
        <v>173</v>
      </c>
    </row>
    <row r="56" spans="1:9" s="385" customFormat="1">
      <c r="A56" s="53"/>
      <c r="B56" s="115"/>
      <c r="C56" s="114"/>
      <c r="D56" s="53"/>
      <c r="E56" s="53"/>
      <c r="F56" s="53"/>
      <c r="G56" s="53"/>
      <c r="H56" s="53"/>
      <c r="I56" s="53"/>
    </row>
    <row r="57" spans="1:9" s="385" customFormat="1" ht="40.5" customHeight="1">
      <c r="A57" s="53"/>
      <c r="B57" s="942" t="s">
        <v>546</v>
      </c>
      <c r="C57" s="942"/>
      <c r="D57" s="942"/>
      <c r="E57" s="942"/>
      <c r="F57" s="942"/>
      <c r="G57" s="942"/>
      <c r="H57" s="942"/>
      <c r="I57" s="942"/>
    </row>
    <row r="58" spans="1:9" s="385" customFormat="1">
      <c r="A58" s="53"/>
      <c r="B58" s="466"/>
      <c r="C58" s="466"/>
      <c r="D58" s="558"/>
      <c r="E58" s="558"/>
      <c r="F58" s="558"/>
      <c r="G58" s="558"/>
      <c r="H58" s="558"/>
      <c r="I58" s="466"/>
    </row>
    <row r="59" spans="1:9" s="385" customFormat="1">
      <c r="A59" s="53"/>
      <c r="B59" s="478" t="s">
        <v>673</v>
      </c>
      <c r="C59" s="467"/>
      <c r="D59" s="557"/>
      <c r="E59" s="557"/>
      <c r="F59" s="557"/>
      <c r="G59" s="557"/>
      <c r="H59" s="557"/>
      <c r="I59" s="467"/>
    </row>
    <row r="60" spans="1:9" s="385" customFormat="1">
      <c r="A60" s="53"/>
      <c r="B60" s="116"/>
      <c r="C60" s="467"/>
      <c r="D60" s="271"/>
      <c r="E60" s="271"/>
      <c r="F60" s="271"/>
      <c r="G60" s="271"/>
      <c r="H60" s="271"/>
      <c r="I60" s="271"/>
    </row>
    <row r="61" spans="1:9" s="385" customFormat="1" ht="78.75">
      <c r="A61" s="53"/>
      <c r="B61" s="468" t="s">
        <v>251</v>
      </c>
      <c r="C61" s="462" t="s">
        <v>399</v>
      </c>
      <c r="D61" s="653" t="s">
        <v>447</v>
      </c>
      <c r="E61" s="653"/>
      <c r="F61" s="553"/>
      <c r="G61" s="553"/>
      <c r="H61" s="554" t="s">
        <v>382</v>
      </c>
      <c r="I61" s="462" t="s">
        <v>383</v>
      </c>
    </row>
    <row r="62" spans="1:9" s="385" customFormat="1">
      <c r="A62" s="53"/>
      <c r="B62" s="468"/>
      <c r="C62" s="462"/>
      <c r="D62" s="553"/>
      <c r="E62" s="553"/>
      <c r="F62" s="553"/>
      <c r="G62" s="553"/>
      <c r="H62" s="554"/>
      <c r="I62" s="462"/>
    </row>
    <row r="63" spans="1:9" s="385" customFormat="1" ht="31.5">
      <c r="A63" s="53"/>
      <c r="B63" s="468"/>
      <c r="C63" s="462"/>
      <c r="D63" s="272" t="s">
        <v>384</v>
      </c>
      <c r="E63" s="272" t="s">
        <v>385</v>
      </c>
      <c r="F63" s="272" t="s">
        <v>384</v>
      </c>
      <c r="G63" s="272" t="s">
        <v>385</v>
      </c>
      <c r="H63" s="554"/>
      <c r="I63" s="462"/>
    </row>
    <row r="64" spans="1:9" s="385" customFormat="1">
      <c r="A64" s="53"/>
      <c r="B64" s="468">
        <v>1</v>
      </c>
      <c r="C64" s="462">
        <v>2</v>
      </c>
      <c r="D64" s="272">
        <v>3</v>
      </c>
      <c r="E64" s="272">
        <v>4</v>
      </c>
      <c r="F64" s="272"/>
      <c r="G64" s="272"/>
      <c r="H64" s="554">
        <v>5</v>
      </c>
      <c r="I64" s="462">
        <v>6</v>
      </c>
    </row>
    <row r="65" spans="1:9" s="385" customFormat="1">
      <c r="A65" s="53"/>
      <c r="B65" s="468">
        <v>1</v>
      </c>
      <c r="C65" s="273" t="s">
        <v>352</v>
      </c>
      <c r="D65" s="274"/>
      <c r="E65" s="274"/>
      <c r="F65" s="117"/>
      <c r="G65" s="117"/>
      <c r="H65" s="118"/>
      <c r="I65" s="54"/>
    </row>
    <row r="66" spans="1:9" s="385" customFormat="1">
      <c r="A66" s="53"/>
      <c r="B66" s="119" t="s">
        <v>253</v>
      </c>
      <c r="C66" s="275" t="s">
        <v>353</v>
      </c>
      <c r="D66" s="119"/>
      <c r="E66" s="119"/>
      <c r="F66" s="117"/>
      <c r="G66" s="117"/>
      <c r="H66" s="117"/>
      <c r="I66" s="111"/>
    </row>
    <row r="67" spans="1:9" s="385" customFormat="1">
      <c r="A67" s="53"/>
      <c r="B67" s="119" t="s">
        <v>254</v>
      </c>
      <c r="C67" s="276" t="s">
        <v>213</v>
      </c>
      <c r="D67" s="119" t="s">
        <v>566</v>
      </c>
      <c r="E67" s="119" t="s">
        <v>566</v>
      </c>
      <c r="F67" s="117"/>
      <c r="G67" s="117"/>
      <c r="H67" s="117"/>
      <c r="I67" s="111"/>
    </row>
    <row r="68" spans="1:9" s="385" customFormat="1" ht="31.5">
      <c r="A68" s="53"/>
      <c r="B68" s="119" t="s">
        <v>265</v>
      </c>
      <c r="C68" s="276" t="s">
        <v>457</v>
      </c>
      <c r="D68" s="119"/>
      <c r="E68" s="119"/>
      <c r="F68" s="117"/>
      <c r="G68" s="117"/>
      <c r="H68" s="117"/>
      <c r="I68" s="111"/>
    </row>
    <row r="69" spans="1:9" s="385" customFormat="1" ht="63">
      <c r="A69" s="53"/>
      <c r="B69" s="120" t="s">
        <v>280</v>
      </c>
      <c r="C69" s="121" t="s">
        <v>458</v>
      </c>
      <c r="D69" s="119"/>
      <c r="E69" s="119"/>
      <c r="F69" s="117"/>
      <c r="G69" s="117"/>
      <c r="H69" s="117"/>
      <c r="I69" s="111"/>
    </row>
    <row r="70" spans="1:9" s="385" customFormat="1" ht="31.5">
      <c r="A70" s="53"/>
      <c r="B70" s="120" t="s">
        <v>459</v>
      </c>
      <c r="C70" s="121" t="s">
        <v>460</v>
      </c>
      <c r="D70" s="119" t="s">
        <v>567</v>
      </c>
      <c r="E70" s="119" t="s">
        <v>567</v>
      </c>
      <c r="F70" s="117"/>
      <c r="G70" s="117"/>
      <c r="H70" s="117"/>
      <c r="I70" s="111"/>
    </row>
    <row r="71" spans="1:9" s="385" customFormat="1">
      <c r="A71" s="53"/>
      <c r="B71" s="120" t="s">
        <v>461</v>
      </c>
      <c r="C71" s="121" t="s">
        <v>462</v>
      </c>
      <c r="D71" s="119" t="s">
        <v>568</v>
      </c>
      <c r="E71" s="119" t="s">
        <v>569</v>
      </c>
      <c r="F71" s="117"/>
      <c r="G71" s="117"/>
      <c r="H71" s="117"/>
      <c r="I71" s="111"/>
    </row>
    <row r="72" spans="1:9" s="385" customFormat="1">
      <c r="A72" s="53"/>
      <c r="B72" s="122">
        <v>2</v>
      </c>
      <c r="C72" s="123" t="s">
        <v>287</v>
      </c>
      <c r="D72" s="119"/>
      <c r="E72" s="119"/>
      <c r="F72" s="117"/>
      <c r="G72" s="117"/>
      <c r="H72" s="117"/>
      <c r="I72" s="111"/>
    </row>
    <row r="73" spans="1:9" s="385" customFormat="1" ht="31.5">
      <c r="A73" s="53"/>
      <c r="B73" s="120" t="s">
        <v>256</v>
      </c>
      <c r="C73" s="121" t="s">
        <v>463</v>
      </c>
      <c r="D73" s="119" t="s">
        <v>569</v>
      </c>
      <c r="E73" s="119" t="s">
        <v>570</v>
      </c>
      <c r="F73" s="117"/>
      <c r="G73" s="117"/>
      <c r="H73" s="117"/>
      <c r="I73" s="111"/>
    </row>
    <row r="74" spans="1:9" s="385" customFormat="1" ht="63">
      <c r="A74" s="53"/>
      <c r="B74" s="120" t="s">
        <v>257</v>
      </c>
      <c r="C74" s="121" t="s">
        <v>392</v>
      </c>
      <c r="D74" s="119"/>
      <c r="E74" s="119"/>
      <c r="F74" s="117"/>
      <c r="G74" s="117"/>
      <c r="H74" s="117"/>
      <c r="I74" s="111"/>
    </row>
    <row r="75" spans="1:9" s="385" customFormat="1" ht="31.5">
      <c r="A75" s="53"/>
      <c r="B75" s="120" t="s">
        <v>258</v>
      </c>
      <c r="C75" s="121" t="s">
        <v>393</v>
      </c>
      <c r="D75" s="119"/>
      <c r="E75" s="119"/>
      <c r="F75" s="117"/>
      <c r="G75" s="117"/>
      <c r="H75" s="117"/>
      <c r="I75" s="111"/>
    </row>
    <row r="76" spans="1:9" s="385" customFormat="1" ht="47.25">
      <c r="A76" s="53"/>
      <c r="B76" s="122">
        <v>3</v>
      </c>
      <c r="C76" s="123" t="s">
        <v>203</v>
      </c>
      <c r="D76" s="119"/>
      <c r="E76" s="119"/>
      <c r="F76" s="117"/>
      <c r="G76" s="117"/>
      <c r="H76" s="117"/>
      <c r="I76" s="111"/>
    </row>
    <row r="77" spans="1:9" s="385" customFormat="1" ht="31.5">
      <c r="A77" s="53"/>
      <c r="B77" s="120" t="s">
        <v>288</v>
      </c>
      <c r="C77" s="121" t="s">
        <v>204</v>
      </c>
      <c r="D77" s="119"/>
      <c r="E77" s="119"/>
      <c r="F77" s="117"/>
      <c r="G77" s="117"/>
      <c r="H77" s="117"/>
      <c r="I77" s="111"/>
    </row>
    <row r="78" spans="1:9" s="385" customFormat="1">
      <c r="A78" s="53"/>
      <c r="B78" s="120" t="s">
        <v>229</v>
      </c>
      <c r="C78" s="121" t="s">
        <v>205</v>
      </c>
      <c r="D78" s="119" t="s">
        <v>570</v>
      </c>
      <c r="E78" s="119" t="s">
        <v>571</v>
      </c>
      <c r="F78" s="117"/>
      <c r="G78" s="117"/>
      <c r="H78" s="117"/>
      <c r="I78" s="111"/>
    </row>
    <row r="79" spans="1:9" s="385" customFormat="1">
      <c r="A79" s="53"/>
      <c r="B79" s="120" t="s">
        <v>231</v>
      </c>
      <c r="C79" s="121" t="s">
        <v>206</v>
      </c>
      <c r="D79" s="119" t="s">
        <v>571</v>
      </c>
      <c r="E79" s="119" t="s">
        <v>572</v>
      </c>
      <c r="F79" s="117"/>
      <c r="G79" s="117"/>
      <c r="H79" s="117"/>
      <c r="I79" s="111"/>
    </row>
    <row r="80" spans="1:9" s="385" customFormat="1">
      <c r="A80" s="53"/>
      <c r="B80" s="120" t="s">
        <v>207</v>
      </c>
      <c r="C80" s="121" t="s">
        <v>208</v>
      </c>
      <c r="D80" s="119" t="s">
        <v>572</v>
      </c>
      <c r="E80" s="119" t="s">
        <v>573</v>
      </c>
      <c r="F80" s="117"/>
      <c r="G80" s="117"/>
      <c r="H80" s="117"/>
      <c r="I80" s="111"/>
    </row>
    <row r="81" spans="1:9" s="385" customFormat="1">
      <c r="A81" s="53"/>
      <c r="B81" s="120" t="s">
        <v>209</v>
      </c>
      <c r="C81" s="121" t="s">
        <v>210</v>
      </c>
      <c r="D81" s="119" t="s">
        <v>573</v>
      </c>
      <c r="E81" s="119" t="s">
        <v>574</v>
      </c>
      <c r="F81" s="117"/>
      <c r="G81" s="117"/>
      <c r="H81" s="117"/>
      <c r="I81" s="111"/>
    </row>
    <row r="82" spans="1:9" s="385" customFormat="1">
      <c r="A82" s="53"/>
      <c r="B82" s="122">
        <v>4</v>
      </c>
      <c r="C82" s="123" t="s">
        <v>376</v>
      </c>
      <c r="D82" s="119"/>
      <c r="E82" s="119"/>
      <c r="F82" s="117"/>
      <c r="G82" s="117"/>
      <c r="H82" s="117"/>
      <c r="I82" s="111"/>
    </row>
    <row r="83" spans="1:9" s="385" customFormat="1" ht="31.5">
      <c r="A83" s="53"/>
      <c r="B83" s="119" t="s">
        <v>260</v>
      </c>
      <c r="C83" s="276" t="s">
        <v>211</v>
      </c>
      <c r="D83" s="119" t="s">
        <v>574</v>
      </c>
      <c r="E83" s="119" t="s">
        <v>575</v>
      </c>
      <c r="F83" s="117"/>
      <c r="G83" s="117"/>
      <c r="H83" s="117"/>
      <c r="I83" s="111"/>
    </row>
    <row r="84" spans="1:9" s="385" customFormat="1" ht="63">
      <c r="A84" s="53"/>
      <c r="B84" s="119" t="s">
        <v>261</v>
      </c>
      <c r="C84" s="276" t="s">
        <v>374</v>
      </c>
      <c r="D84" s="119"/>
      <c r="E84" s="119"/>
      <c r="F84" s="117"/>
      <c r="G84" s="117"/>
      <c r="H84" s="117"/>
      <c r="I84" s="111"/>
    </row>
    <row r="85" spans="1:9" s="385" customFormat="1" ht="31.5">
      <c r="A85" s="53"/>
      <c r="B85" s="119" t="s">
        <v>262</v>
      </c>
      <c r="C85" s="276" t="s">
        <v>477</v>
      </c>
      <c r="D85" s="119"/>
      <c r="E85" s="119"/>
      <c r="F85" s="117"/>
      <c r="G85" s="117"/>
      <c r="H85" s="117"/>
      <c r="I85" s="111"/>
    </row>
    <row r="86" spans="1:9" s="385" customFormat="1" ht="31.5">
      <c r="A86" s="53"/>
      <c r="B86" s="119" t="s">
        <v>135</v>
      </c>
      <c r="C86" s="276" t="s">
        <v>478</v>
      </c>
      <c r="D86" s="119" t="s">
        <v>651</v>
      </c>
      <c r="E86" s="119" t="s">
        <v>652</v>
      </c>
      <c r="F86" s="117"/>
      <c r="G86" s="117"/>
      <c r="H86" s="117"/>
      <c r="I86" s="111"/>
    </row>
    <row r="87" spans="1:9" s="385" customFormat="1">
      <c r="A87" s="53"/>
      <c r="B87" s="113"/>
      <c r="C87" s="114"/>
      <c r="D87" s="53"/>
      <c r="E87" s="53"/>
      <c r="F87" s="53"/>
      <c r="G87" s="53"/>
      <c r="H87" s="460" t="str">
        <f>'приложение 1.1 '!A26</f>
        <v>1.1.2.1</v>
      </c>
      <c r="I87" s="175" t="s">
        <v>240</v>
      </c>
    </row>
    <row r="88" spans="1:9" s="385" customFormat="1">
      <c r="A88" s="53"/>
      <c r="B88" s="113"/>
      <c r="C88" s="114"/>
      <c r="D88" s="53"/>
      <c r="E88" s="53"/>
      <c r="F88" s="53"/>
      <c r="G88" s="53"/>
      <c r="H88" s="53"/>
      <c r="I88" s="175" t="s">
        <v>433</v>
      </c>
    </row>
    <row r="89" spans="1:9" s="385" customFormat="1">
      <c r="A89" s="53"/>
      <c r="B89" s="113"/>
      <c r="C89" s="114"/>
      <c r="D89" s="53"/>
      <c r="E89" s="53"/>
      <c r="F89" s="53"/>
      <c r="G89" s="53"/>
      <c r="H89" s="53"/>
      <c r="I89" s="175" t="s">
        <v>178</v>
      </c>
    </row>
    <row r="90" spans="1:9" s="385" customFormat="1">
      <c r="A90" s="53"/>
      <c r="B90" s="113"/>
      <c r="C90" s="114"/>
      <c r="D90" s="53"/>
      <c r="E90" s="53"/>
      <c r="F90" s="53"/>
      <c r="G90" s="53"/>
      <c r="H90" s="53"/>
      <c r="I90" s="175"/>
    </row>
    <row r="91" spans="1:9" s="385" customFormat="1" ht="15.75" customHeight="1">
      <c r="A91" s="53"/>
      <c r="B91" s="941" t="s">
        <v>381</v>
      </c>
      <c r="C91" s="941"/>
      <c r="D91" s="941"/>
      <c r="E91" s="941"/>
      <c r="F91" s="941"/>
      <c r="G91" s="941"/>
      <c r="H91" s="941"/>
      <c r="I91" s="941"/>
    </row>
    <row r="92" spans="1:9" s="385" customFormat="1" ht="15.75" customHeight="1">
      <c r="A92" s="53"/>
      <c r="B92" s="941" t="s">
        <v>620</v>
      </c>
      <c r="C92" s="941"/>
      <c r="D92" s="941"/>
      <c r="E92" s="941"/>
      <c r="F92" s="941"/>
      <c r="G92" s="941"/>
      <c r="H92" s="941"/>
      <c r="I92" s="941"/>
    </row>
    <row r="93" spans="1:9" s="385" customFormat="1">
      <c r="A93" s="53"/>
      <c r="B93" s="113"/>
      <c r="C93" s="114"/>
      <c r="D93" s="53"/>
      <c r="E93" s="53"/>
      <c r="F93" s="53"/>
      <c r="G93" s="53"/>
      <c r="H93" s="53"/>
      <c r="I93" s="175" t="s">
        <v>434</v>
      </c>
    </row>
    <row r="94" spans="1:9" s="385" customFormat="1">
      <c r="A94" s="53"/>
      <c r="B94" s="113"/>
      <c r="C94" s="114"/>
      <c r="D94" s="53"/>
      <c r="E94" s="53"/>
      <c r="F94" s="53"/>
      <c r="G94" s="53"/>
      <c r="H94" s="53"/>
      <c r="I94" s="175" t="s">
        <v>212</v>
      </c>
    </row>
    <row r="95" spans="1:9" s="385" customFormat="1">
      <c r="A95" s="53"/>
      <c r="B95" s="113"/>
      <c r="C95" s="114"/>
      <c r="D95" s="53"/>
      <c r="E95" s="53"/>
      <c r="F95" s="53"/>
      <c r="G95" s="53"/>
      <c r="H95" s="53"/>
      <c r="I95" s="175" t="s">
        <v>620</v>
      </c>
    </row>
    <row r="96" spans="1:9" s="385" customFormat="1">
      <c r="A96" s="53"/>
      <c r="B96" s="113"/>
      <c r="C96" s="114"/>
      <c r="D96" s="53"/>
      <c r="E96" s="53"/>
      <c r="F96" s="53"/>
      <c r="G96" s="53"/>
      <c r="H96" s="53"/>
      <c r="I96" s="270" t="s">
        <v>621</v>
      </c>
    </row>
    <row r="97" spans="1:9" s="385" customFormat="1">
      <c r="A97" s="53"/>
      <c r="B97" s="113"/>
      <c r="C97" s="114"/>
      <c r="D97" s="53"/>
      <c r="E97" s="53"/>
      <c r="F97" s="53"/>
      <c r="G97" s="53"/>
      <c r="H97" s="53"/>
      <c r="I97" s="175" t="s">
        <v>672</v>
      </c>
    </row>
    <row r="98" spans="1:9" s="385" customFormat="1">
      <c r="A98" s="53"/>
      <c r="B98" s="113"/>
      <c r="C98" s="114"/>
      <c r="D98" s="53"/>
      <c r="E98" s="53"/>
      <c r="F98" s="53"/>
      <c r="G98" s="53"/>
      <c r="H98" s="53"/>
      <c r="I98" s="175" t="s">
        <v>173</v>
      </c>
    </row>
    <row r="99" spans="1:9" s="385" customFormat="1">
      <c r="A99" s="53"/>
      <c r="B99" s="115"/>
      <c r="C99" s="114"/>
      <c r="D99" s="53"/>
      <c r="E99" s="53"/>
      <c r="F99" s="53"/>
      <c r="G99" s="53"/>
      <c r="H99" s="53"/>
      <c r="I99" s="53"/>
    </row>
    <row r="100" spans="1:9" s="385" customFormat="1" ht="30" customHeight="1">
      <c r="A100" s="53"/>
      <c r="B100" s="942" t="s">
        <v>552</v>
      </c>
      <c r="C100" s="944"/>
      <c r="D100" s="944"/>
      <c r="E100" s="944"/>
      <c r="F100" s="944"/>
      <c r="G100" s="944"/>
      <c r="H100" s="944"/>
      <c r="I100" s="944"/>
    </row>
    <row r="101" spans="1:9" s="385" customFormat="1">
      <c r="A101" s="53"/>
      <c r="B101" s="940"/>
      <c r="C101" s="940"/>
      <c r="D101" s="940"/>
      <c r="E101" s="940"/>
      <c r="F101" s="940"/>
      <c r="G101" s="940"/>
      <c r="H101" s="940"/>
      <c r="I101" s="940"/>
    </row>
    <row r="102" spans="1:9" s="385" customFormat="1" ht="15.75" customHeight="1">
      <c r="A102" s="53"/>
      <c r="B102" s="938" t="s">
        <v>673</v>
      </c>
      <c r="C102" s="938"/>
      <c r="D102" s="938"/>
      <c r="E102" s="938"/>
      <c r="F102" s="938"/>
      <c r="G102" s="938"/>
      <c r="H102" s="938"/>
      <c r="I102" s="938"/>
    </row>
    <row r="103" spans="1:9" s="385" customFormat="1">
      <c r="A103" s="53"/>
      <c r="B103" s="116"/>
      <c r="C103" s="421"/>
      <c r="D103" s="271"/>
      <c r="E103" s="271"/>
      <c r="F103" s="271"/>
      <c r="G103" s="271"/>
      <c r="H103" s="271"/>
      <c r="I103" s="271"/>
    </row>
    <row r="104" spans="1:9" s="385" customFormat="1" ht="15.75" customHeight="1">
      <c r="A104" s="53"/>
      <c r="B104" s="939" t="s">
        <v>251</v>
      </c>
      <c r="C104" s="877" t="s">
        <v>399</v>
      </c>
      <c r="D104" s="877" t="s">
        <v>447</v>
      </c>
      <c r="E104" s="877"/>
      <c r="F104" s="877"/>
      <c r="G104" s="877"/>
      <c r="H104" s="878" t="s">
        <v>382</v>
      </c>
      <c r="I104" s="877" t="s">
        <v>383</v>
      </c>
    </row>
    <row r="105" spans="1:9" s="385" customFormat="1">
      <c r="A105" s="53"/>
      <c r="B105" s="939"/>
      <c r="C105" s="877"/>
      <c r="D105" s="877"/>
      <c r="E105" s="877"/>
      <c r="F105" s="877"/>
      <c r="G105" s="877"/>
      <c r="H105" s="878"/>
      <c r="I105" s="877"/>
    </row>
    <row r="106" spans="1:9" s="385" customFormat="1" ht="31.5">
      <c r="A106" s="53"/>
      <c r="B106" s="939"/>
      <c r="C106" s="877"/>
      <c r="D106" s="272" t="s">
        <v>384</v>
      </c>
      <c r="E106" s="272" t="s">
        <v>385</v>
      </c>
      <c r="F106" s="272" t="s">
        <v>384</v>
      </c>
      <c r="G106" s="272" t="s">
        <v>385</v>
      </c>
      <c r="H106" s="878"/>
      <c r="I106" s="877"/>
    </row>
    <row r="107" spans="1:9" s="385" customFormat="1">
      <c r="A107" s="53"/>
      <c r="B107" s="422">
        <v>1</v>
      </c>
      <c r="C107" s="420">
        <v>2</v>
      </c>
      <c r="D107" s="272">
        <v>3</v>
      </c>
      <c r="E107" s="272">
        <v>4</v>
      </c>
      <c r="F107" s="272"/>
      <c r="G107" s="272"/>
      <c r="H107" s="554">
        <v>5</v>
      </c>
      <c r="I107" s="420">
        <v>6</v>
      </c>
    </row>
    <row r="108" spans="1:9" s="385" customFormat="1">
      <c r="A108" s="53"/>
      <c r="B108" s="422">
        <v>1</v>
      </c>
      <c r="C108" s="273" t="s">
        <v>352</v>
      </c>
      <c r="D108" s="274"/>
      <c r="E108" s="274"/>
      <c r="F108" s="117"/>
      <c r="G108" s="117"/>
      <c r="H108" s="118"/>
      <c r="I108" s="54"/>
    </row>
    <row r="109" spans="1:9" s="385" customFormat="1" ht="31.5" customHeight="1">
      <c r="A109" s="53"/>
      <c r="B109" s="119" t="s">
        <v>253</v>
      </c>
      <c r="C109" s="275" t="s">
        <v>353</v>
      </c>
      <c r="D109" s="119"/>
      <c r="E109" s="119"/>
      <c r="F109" s="117"/>
      <c r="G109" s="117"/>
      <c r="H109" s="117"/>
      <c r="I109" s="111"/>
    </row>
    <row r="110" spans="1:9" s="385" customFormat="1">
      <c r="A110" s="53"/>
      <c r="B110" s="119" t="s">
        <v>254</v>
      </c>
      <c r="C110" s="276" t="s">
        <v>213</v>
      </c>
      <c r="D110" s="119" t="s">
        <v>566</v>
      </c>
      <c r="E110" s="119" t="s">
        <v>566</v>
      </c>
      <c r="F110" s="117"/>
      <c r="G110" s="117"/>
      <c r="H110" s="117"/>
      <c r="I110" s="111"/>
    </row>
    <row r="111" spans="1:9" s="385" customFormat="1" ht="31.5">
      <c r="A111" s="53"/>
      <c r="B111" s="119" t="s">
        <v>265</v>
      </c>
      <c r="C111" s="276" t="s">
        <v>457</v>
      </c>
      <c r="D111" s="119"/>
      <c r="E111" s="119"/>
      <c r="F111" s="117"/>
      <c r="G111" s="117"/>
      <c r="H111" s="117"/>
      <c r="I111" s="111"/>
    </row>
    <row r="112" spans="1:9" s="385" customFormat="1" ht="63">
      <c r="A112" s="53"/>
      <c r="B112" s="120" t="s">
        <v>280</v>
      </c>
      <c r="C112" s="121" t="s">
        <v>458</v>
      </c>
      <c r="D112" s="119"/>
      <c r="E112" s="119"/>
      <c r="F112" s="117"/>
      <c r="G112" s="117"/>
      <c r="H112" s="117"/>
      <c r="I112" s="111"/>
    </row>
    <row r="113" spans="1:9" s="385" customFormat="1" ht="31.5">
      <c r="A113" s="53"/>
      <c r="B113" s="120" t="s">
        <v>459</v>
      </c>
      <c r="C113" s="121" t="s">
        <v>460</v>
      </c>
      <c r="D113" s="119" t="s">
        <v>567</v>
      </c>
      <c r="E113" s="119" t="s">
        <v>567</v>
      </c>
      <c r="F113" s="117"/>
      <c r="G113" s="117"/>
      <c r="H113" s="117"/>
      <c r="I113" s="111"/>
    </row>
    <row r="114" spans="1:9" s="385" customFormat="1">
      <c r="A114" s="53"/>
      <c r="B114" s="120" t="s">
        <v>461</v>
      </c>
      <c r="C114" s="121" t="s">
        <v>462</v>
      </c>
      <c r="D114" s="119" t="s">
        <v>568</v>
      </c>
      <c r="E114" s="119" t="s">
        <v>569</v>
      </c>
      <c r="F114" s="117"/>
      <c r="G114" s="117"/>
      <c r="H114" s="117"/>
      <c r="I114" s="111"/>
    </row>
    <row r="115" spans="1:9" s="385" customFormat="1">
      <c r="A115" s="53"/>
      <c r="B115" s="122">
        <v>2</v>
      </c>
      <c r="C115" s="123" t="s">
        <v>287</v>
      </c>
      <c r="D115" s="119"/>
      <c r="E115" s="119"/>
      <c r="F115" s="117"/>
      <c r="G115" s="117"/>
      <c r="H115" s="117"/>
      <c r="I115" s="111"/>
    </row>
    <row r="116" spans="1:9" s="385" customFormat="1" ht="31.5">
      <c r="A116" s="53"/>
      <c r="B116" s="120" t="s">
        <v>256</v>
      </c>
      <c r="C116" s="121" t="s">
        <v>463</v>
      </c>
      <c r="D116" s="119" t="s">
        <v>569</v>
      </c>
      <c r="E116" s="119" t="s">
        <v>570</v>
      </c>
      <c r="F116" s="117"/>
      <c r="G116" s="117"/>
      <c r="H116" s="117"/>
      <c r="I116" s="111"/>
    </row>
    <row r="117" spans="1:9" s="385" customFormat="1" ht="63">
      <c r="A117" s="53"/>
      <c r="B117" s="120" t="s">
        <v>257</v>
      </c>
      <c r="C117" s="121" t="s">
        <v>392</v>
      </c>
      <c r="D117" s="119"/>
      <c r="E117" s="119"/>
      <c r="F117" s="117"/>
      <c r="G117" s="117"/>
      <c r="H117" s="117"/>
      <c r="I117" s="111"/>
    </row>
    <row r="118" spans="1:9" s="385" customFormat="1" ht="31.5">
      <c r="A118" s="53"/>
      <c r="B118" s="120" t="s">
        <v>258</v>
      </c>
      <c r="C118" s="121" t="s">
        <v>393</v>
      </c>
      <c r="D118" s="119"/>
      <c r="E118" s="119"/>
      <c r="F118" s="117"/>
      <c r="G118" s="117"/>
      <c r="H118" s="117"/>
      <c r="I118" s="111"/>
    </row>
    <row r="119" spans="1:9" s="385" customFormat="1" ht="47.25">
      <c r="A119" s="53"/>
      <c r="B119" s="122">
        <v>3</v>
      </c>
      <c r="C119" s="123" t="s">
        <v>203</v>
      </c>
      <c r="D119" s="119"/>
      <c r="E119" s="119"/>
      <c r="F119" s="117"/>
      <c r="G119" s="117"/>
      <c r="H119" s="117"/>
      <c r="I119" s="111"/>
    </row>
    <row r="120" spans="1:9" s="385" customFormat="1" ht="31.5">
      <c r="A120" s="53"/>
      <c r="B120" s="120" t="s">
        <v>288</v>
      </c>
      <c r="C120" s="121" t="s">
        <v>204</v>
      </c>
      <c r="D120" s="119"/>
      <c r="E120" s="119"/>
      <c r="F120" s="117"/>
      <c r="G120" s="117"/>
      <c r="H120" s="117"/>
      <c r="I120" s="111"/>
    </row>
    <row r="121" spans="1:9" s="385" customFormat="1">
      <c r="A121" s="53"/>
      <c r="B121" s="120" t="s">
        <v>229</v>
      </c>
      <c r="C121" s="121" t="s">
        <v>205</v>
      </c>
      <c r="D121" s="119" t="s">
        <v>570</v>
      </c>
      <c r="E121" s="119" t="s">
        <v>571</v>
      </c>
      <c r="F121" s="117"/>
      <c r="G121" s="117"/>
      <c r="H121" s="117"/>
      <c r="I121" s="111"/>
    </row>
    <row r="122" spans="1:9" s="385" customFormat="1">
      <c r="A122" s="53"/>
      <c r="B122" s="120" t="s">
        <v>231</v>
      </c>
      <c r="C122" s="121" t="s">
        <v>206</v>
      </c>
      <c r="D122" s="119" t="s">
        <v>571</v>
      </c>
      <c r="E122" s="119" t="s">
        <v>572</v>
      </c>
      <c r="F122" s="117"/>
      <c r="G122" s="117"/>
      <c r="H122" s="117"/>
      <c r="I122" s="111"/>
    </row>
    <row r="123" spans="1:9" s="385" customFormat="1">
      <c r="A123" s="53"/>
      <c r="B123" s="120" t="s">
        <v>207</v>
      </c>
      <c r="C123" s="121" t="s">
        <v>208</v>
      </c>
      <c r="D123" s="119" t="s">
        <v>572</v>
      </c>
      <c r="E123" s="119" t="s">
        <v>573</v>
      </c>
      <c r="F123" s="117"/>
      <c r="G123" s="117"/>
      <c r="H123" s="117"/>
      <c r="I123" s="111"/>
    </row>
    <row r="124" spans="1:9" s="385" customFormat="1">
      <c r="A124" s="53"/>
      <c r="B124" s="120" t="s">
        <v>209</v>
      </c>
      <c r="C124" s="121" t="s">
        <v>210</v>
      </c>
      <c r="D124" s="119" t="s">
        <v>573</v>
      </c>
      <c r="E124" s="119" t="s">
        <v>574</v>
      </c>
      <c r="F124" s="117"/>
      <c r="G124" s="117"/>
      <c r="H124" s="117"/>
      <c r="I124" s="111"/>
    </row>
    <row r="125" spans="1:9" s="385" customFormat="1">
      <c r="A125" s="53"/>
      <c r="B125" s="122">
        <v>4</v>
      </c>
      <c r="C125" s="123" t="s">
        <v>376</v>
      </c>
      <c r="D125" s="119"/>
      <c r="E125" s="119"/>
      <c r="F125" s="117"/>
      <c r="G125" s="117"/>
      <c r="H125" s="117"/>
      <c r="I125" s="111"/>
    </row>
    <row r="126" spans="1:9" s="385" customFormat="1" ht="31.5">
      <c r="A126" s="53"/>
      <c r="B126" s="119" t="s">
        <v>260</v>
      </c>
      <c r="C126" s="276" t="s">
        <v>211</v>
      </c>
      <c r="D126" s="119" t="s">
        <v>574</v>
      </c>
      <c r="E126" s="119" t="s">
        <v>575</v>
      </c>
      <c r="F126" s="117"/>
      <c r="G126" s="117"/>
      <c r="H126" s="117"/>
      <c r="I126" s="111"/>
    </row>
    <row r="127" spans="1:9" s="385" customFormat="1" ht="63">
      <c r="A127" s="53"/>
      <c r="B127" s="119" t="s">
        <v>261</v>
      </c>
      <c r="C127" s="276" t="s">
        <v>374</v>
      </c>
      <c r="D127" s="119"/>
      <c r="E127" s="119"/>
      <c r="F127" s="117"/>
      <c r="G127" s="117"/>
      <c r="H127" s="117"/>
      <c r="I127" s="111"/>
    </row>
    <row r="128" spans="1:9" s="385" customFormat="1" ht="31.5">
      <c r="A128" s="53"/>
      <c r="B128" s="119" t="s">
        <v>262</v>
      </c>
      <c r="C128" s="276" t="s">
        <v>477</v>
      </c>
      <c r="D128" s="119"/>
      <c r="E128" s="119"/>
      <c r="F128" s="117"/>
      <c r="G128" s="117"/>
      <c r="H128" s="117"/>
      <c r="I128" s="111"/>
    </row>
    <row r="129" spans="1:9" s="385" customFormat="1" ht="31.5">
      <c r="A129" s="53"/>
      <c r="B129" s="119" t="s">
        <v>135</v>
      </c>
      <c r="C129" s="276" t="s">
        <v>478</v>
      </c>
      <c r="D129" s="119" t="s">
        <v>595</v>
      </c>
      <c r="E129" s="119" t="s">
        <v>596</v>
      </c>
      <c r="F129" s="117"/>
      <c r="G129" s="117"/>
      <c r="H129" s="117"/>
      <c r="I129" s="111"/>
    </row>
  </sheetData>
  <customSheetViews>
    <customSheetView guid="{8313A758-6764-4FAF-B5C3-0AC63E11C07D}" showPageBreaks="1" printArea="1" hiddenColumns="1" view="pageBreakPreview" topLeftCell="A89">
      <selection activeCell="E43" sqref="E43"/>
      <rowBreaks count="2" manualBreakCount="2">
        <brk id="43" max="8" man="1"/>
        <brk id="86" max="8" man="1"/>
      </rowBreaks>
      <pageMargins left="0.51181102362204722" right="0.11811023622047245" top="0.47244094488188981" bottom="0.39370078740157483" header="0.31496062992125984" footer="0.31496062992125984"/>
      <pageSetup paperSize="9" scale="60" orientation="portrait" r:id="rId1"/>
    </customSheetView>
    <customSheetView guid="{39750778-B4CA-4A61-A93E-2C57443220F3}" showPageBreaks="1" printArea="1" hiddenColumns="1" view="pageBreakPreview">
      <selection activeCell="D89" sqref="D89"/>
      <rowBreaks count="2" manualBreakCount="2">
        <brk id="43" max="16383" man="1"/>
        <brk id="86" max="8" man="1"/>
      </rowBreaks>
      <pageMargins left="0.51181102362204722" right="0.11811023622047245" top="0.47244094488188981" bottom="0.39370078740157483" header="0.31496062992125984" footer="0.31496062992125984"/>
      <pageSetup paperSize="9" scale="65" orientation="portrait" r:id="rId2"/>
    </customSheetView>
  </customSheetViews>
  <mergeCells count="23">
    <mergeCell ref="B102:I102"/>
    <mergeCell ref="B104:B106"/>
    <mergeCell ref="C104:C106"/>
    <mergeCell ref="B5:I5"/>
    <mergeCell ref="B6:I6"/>
    <mergeCell ref="B14:I14"/>
    <mergeCell ref="B15:I15"/>
    <mergeCell ref="D104:G105"/>
    <mergeCell ref="H104:H106"/>
    <mergeCell ref="I104:I106"/>
    <mergeCell ref="B91:I91"/>
    <mergeCell ref="B92:I92"/>
    <mergeCell ref="B100:I100"/>
    <mergeCell ref="C18:C20"/>
    <mergeCell ref="D18:G19"/>
    <mergeCell ref="B48:I48"/>
    <mergeCell ref="B16:I16"/>
    <mergeCell ref="B18:B20"/>
    <mergeCell ref="H18:H20"/>
    <mergeCell ref="I18:I20"/>
    <mergeCell ref="B101:I101"/>
    <mergeCell ref="B49:I49"/>
    <mergeCell ref="B57:I57"/>
  </mergeCells>
  <phoneticPr fontId="0" type="noConversion"/>
  <pageMargins left="0.51181102362204722" right="0.11811023622047245" top="0.47244094488188981" bottom="0.39370078740157483" header="0.31496062992125984" footer="0.31496062992125984"/>
  <pageSetup paperSize="9" scale="74" orientation="portrait" r:id="rId3"/>
  <rowBreaks count="2" manualBreakCount="2">
    <brk id="43" max="16383" man="1"/>
    <brk id="86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23</vt:i4>
      </vt:variant>
    </vt:vector>
  </HeadingPairs>
  <TitlesOfParts>
    <vt:vector size="41" baseType="lpstr">
      <vt:lpstr>приложение 1.1 </vt:lpstr>
      <vt:lpstr>приложение 1.4</vt:lpstr>
      <vt:lpstr>приложение 1.2</vt:lpstr>
      <vt:lpstr>приложение 1.3</vt:lpstr>
      <vt:lpstr>приложение 1.4.</vt:lpstr>
      <vt:lpstr>приложение 2.1</vt:lpstr>
      <vt:lpstr>приложение 2.2</vt:lpstr>
      <vt:lpstr>приложение 2.3</vt:lpstr>
      <vt:lpstr>приложение 3.1</vt:lpstr>
      <vt:lpstr>приложение 3.2</vt:lpstr>
      <vt:lpstr>приложение 4.1 </vt:lpstr>
      <vt:lpstr>приложение 4.2 </vt:lpstr>
      <vt:lpstr>приложение 4.3 </vt:lpstr>
      <vt:lpstr>приложение 1</vt:lpstr>
      <vt:lpstr>приложение 2</vt:lpstr>
      <vt:lpstr>приложение 2.</vt:lpstr>
      <vt:lpstr>приложение 3</vt:lpstr>
      <vt:lpstr>приложение 6</vt:lpstr>
      <vt:lpstr>'приложение 1'!Заголовки_для_печати</vt:lpstr>
      <vt:lpstr>'приложение 1.1 '!Заголовки_для_печати</vt:lpstr>
      <vt:lpstr>'приложение 1.2'!Заголовки_для_печати</vt:lpstr>
      <vt:lpstr>'приложение 1.3'!Заголовки_для_печати</vt:lpstr>
      <vt:lpstr>'приложение 1.4.'!Заголовки_для_печати</vt:lpstr>
      <vt:lpstr>'приложение 2'!Заголовки_для_печати</vt:lpstr>
      <vt:lpstr>'приложение 2.2'!Заголовки_для_печати</vt:lpstr>
      <vt:lpstr>'приложение 3.2'!Заголовки_для_печати</vt:lpstr>
      <vt:lpstr>'приложение 4.1 '!Заголовки_для_печати</vt:lpstr>
      <vt:lpstr>'приложение 6'!Заголовки_для_печати</vt:lpstr>
      <vt:lpstr>'приложение 1'!Область_печати</vt:lpstr>
      <vt:lpstr>'приложение 1.1 '!Область_печати</vt:lpstr>
      <vt:lpstr>'приложение 1.3'!Область_печати</vt:lpstr>
      <vt:lpstr>'приложение 1.4.'!Область_печати</vt:lpstr>
      <vt:lpstr>'приложение 2'!Область_печати</vt:lpstr>
      <vt:lpstr>'приложение 2.2'!Область_печати</vt:lpstr>
      <vt:lpstr>'приложение 2.3'!Область_печати</vt:lpstr>
      <vt:lpstr>'приложение 3'!Область_печати</vt:lpstr>
      <vt:lpstr>'приложение 3.1'!Область_печати</vt:lpstr>
      <vt:lpstr>'приложение 4.1 '!Область_печати</vt:lpstr>
      <vt:lpstr>'приложение 4.2 '!Область_печати</vt:lpstr>
      <vt:lpstr>'приложение 4.3 '!Область_печати</vt:lpstr>
      <vt:lpstr>'приложение 6'!Область_печати</vt:lpstr>
    </vt:vector>
  </TitlesOfParts>
  <Company>Datanium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Kudryashov_YM</dc:creator>
  <cp:lastModifiedBy>Горло Павел Владимирович</cp:lastModifiedBy>
  <cp:lastPrinted>2016-04-20T12:21:11Z</cp:lastPrinted>
  <dcterms:created xsi:type="dcterms:W3CDTF">2009-07-27T10:10:26Z</dcterms:created>
  <dcterms:modified xsi:type="dcterms:W3CDTF">2017-02-28T13:08:15Z</dcterms:modified>
</cp:coreProperties>
</file>